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65" windowWidth="14370" windowHeight="8460" activeTab="0"/>
  </bookViews>
  <sheets>
    <sheet name="住民税計算書" sheetId="1" r:id="rId1"/>
    <sheet name="不動産貸付業の認定基準" sheetId="2" r:id="rId2"/>
    <sheet name="説明" sheetId="3" r:id="rId3"/>
  </sheets>
  <definedNames/>
  <calcPr fullCalcOnLoad="1"/>
</workbook>
</file>

<file path=xl/sharedStrings.xml><?xml version="1.0" encoding="utf-8"?>
<sst xmlns="http://schemas.openxmlformats.org/spreadsheetml/2006/main" count="387" uniqueCount="286">
  <si>
    <t>利子所得</t>
  </si>
  <si>
    <t>配当所得</t>
  </si>
  <si>
    <t>不動産所得</t>
  </si>
  <si>
    <t>事業所得</t>
  </si>
  <si>
    <t>給与所得</t>
  </si>
  <si>
    <t>雑損控除</t>
  </si>
  <si>
    <t>医療費控除</t>
  </si>
  <si>
    <t>社会保険料控除</t>
  </si>
  <si>
    <t>小規模企業共済等掛金控除</t>
  </si>
  <si>
    <t>生命保険料控除</t>
  </si>
  <si>
    <t>寄付金控除</t>
  </si>
  <si>
    <t>寡婦控除</t>
  </si>
  <si>
    <t>寡夫控除</t>
  </si>
  <si>
    <t>勤労学生控除</t>
  </si>
  <si>
    <t>障害者控除</t>
  </si>
  <si>
    <t>配偶者控除</t>
  </si>
  <si>
    <t>配偶者特別控除</t>
  </si>
  <si>
    <t>扶養控除</t>
  </si>
  <si>
    <t>基礎控除</t>
  </si>
  <si>
    <t>課税総所得金額</t>
  </si>
  <si>
    <t>同上の税額</t>
  </si>
  <si>
    <t>配当控除</t>
  </si>
  <si>
    <t>差引所得税額</t>
  </si>
  <si>
    <t>源泉徴収税額</t>
  </si>
  <si>
    <t>申告納税額</t>
  </si>
  <si>
    <t>特定扶養親族</t>
  </si>
  <si>
    <t>同居老人扶養親族</t>
  </si>
  <si>
    <t>その他の扶養親族</t>
  </si>
  <si>
    <t>扶養親族のうち同居特別障害者</t>
  </si>
  <si>
    <t>合          計</t>
  </si>
  <si>
    <t>総合譲渡所得・一時所得</t>
  </si>
  <si>
    <t>金    額</t>
  </si>
  <si>
    <t>所</t>
  </si>
  <si>
    <t>税</t>
  </si>
  <si>
    <t>金</t>
  </si>
  <si>
    <t>の</t>
  </si>
  <si>
    <t>計</t>
  </si>
  <si>
    <t>算</t>
  </si>
  <si>
    <t>得</t>
  </si>
  <si>
    <t>額</t>
  </si>
  <si>
    <t>控</t>
  </si>
  <si>
    <t>除</t>
  </si>
  <si>
    <t>項            目</t>
  </si>
  <si>
    <t>雑所得</t>
  </si>
  <si>
    <t>所得税額</t>
  </si>
  <si>
    <t>均等割額</t>
  </si>
  <si>
    <t>所得割額</t>
  </si>
  <si>
    <t>納付税額</t>
  </si>
  <si>
    <t>住民税額</t>
  </si>
  <si>
    <t>所  得  税</t>
  </si>
  <si>
    <t>－</t>
  </si>
  <si>
    <t>－</t>
  </si>
  <si>
    <t>一般の生命保険料</t>
  </si>
  <si>
    <t>個人年金保険料</t>
  </si>
  <si>
    <t>≪扶養親族の内訳≫</t>
  </si>
  <si>
    <t>≪生命保険料の支払内訳≫</t>
  </si>
  <si>
    <t>≪寄付金の支払内訳≫</t>
  </si>
  <si>
    <t>所得税控除額</t>
  </si>
  <si>
    <t>住民税控除額</t>
  </si>
  <si>
    <t>≪配偶者の内訳≫</t>
  </si>
  <si>
    <t>老人控除対象配偶者</t>
  </si>
  <si>
    <t>その他の控除対象配偶者</t>
  </si>
  <si>
    <t>配偶者のうち同居特別障害者</t>
  </si>
  <si>
    <t>≪本人の情報≫</t>
  </si>
  <si>
    <t>－</t>
  </si>
  <si>
    <t>本人が未成年者</t>
  </si>
  <si>
    <t>本人が特別障害者</t>
  </si>
  <si>
    <t>本人がその他の障害者</t>
  </si>
  <si>
    <t>寄付金</t>
  </si>
  <si>
    <t>(注)本人が上記要件に該当する場合は1人と入力して下さい。</t>
  </si>
  <si>
    <t>≪配当所得に対する課税の特例≫</t>
  </si>
  <si>
    <t>上場株式等の配当所得に対する配当割額</t>
  </si>
  <si>
    <t>市町村の条例で定める金額</t>
  </si>
  <si>
    <t>人は、住民税は課税されません。</t>
  </si>
  <si>
    <t>一定の基準に従いその市町村の条例で定める金額以下である</t>
  </si>
  <si>
    <t>(注)均等割のみを課される者のうち、前年中の所得の金額が</t>
  </si>
  <si>
    <t>＜参考＞</t>
  </si>
  <si>
    <t>※シート保護解除パスワードは、「0000」です。</t>
  </si>
  <si>
    <t>≪市町村の条例で定める金額等≫</t>
  </si>
  <si>
    <t>都道府県民税均等割</t>
  </si>
  <si>
    <t>市町村民税均等割</t>
  </si>
  <si>
    <t>市町村の条例で定める金額  350,000円</t>
  </si>
  <si>
    <t>道府県民税</t>
  </si>
  <si>
    <t>市町村民税</t>
  </si>
  <si>
    <t>控除対象配偶者及び扶養親族がいる場合の加算額</t>
  </si>
  <si>
    <t>控除対象配偶者及び扶養親族がいる場合の加算額  210,000円</t>
  </si>
  <si>
    <t>府､市民税計</t>
  </si>
  <si>
    <t>氏  名</t>
  </si>
  <si>
    <t>項            目</t>
  </si>
  <si>
    <t>≪雑損控除の計算≫</t>
  </si>
  <si>
    <t>損害額のうち災害関連支出の金額</t>
  </si>
  <si>
    <r>
      <t>損害額</t>
    </r>
    <r>
      <rPr>
        <sz val="8"/>
        <rFont val="ＭＳ 明朝"/>
        <family val="1"/>
      </rPr>
      <t>(災害関連支出を含む)</t>
    </r>
  </si>
  <si>
    <t>保険金などで補てんされる金額</t>
  </si>
  <si>
    <t>－</t>
  </si>
  <si>
    <t>≪医療費控除の計算≫</t>
  </si>
  <si>
    <t>支払った医療費</t>
  </si>
  <si>
    <t>保険金などで補てんされる金額</t>
  </si>
  <si>
    <t>人    数</t>
  </si>
  <si>
    <t>専従者給与額</t>
  </si>
  <si>
    <t>－</t>
  </si>
  <si>
    <t>所得区分</t>
  </si>
  <si>
    <t>住民税で専従者とした者の内訳</t>
  </si>
  <si>
    <t>－</t>
  </si>
  <si>
    <t>≪青色申告特別控除の内訳≫</t>
  </si>
  <si>
    <t>事業所得から控除した青色申告特別控除額</t>
  </si>
  <si>
    <t>不動産所得から控除した青色申告特別控除額</t>
  </si>
  <si>
    <t>≪住民税で専従者とした専従者給与合計≫</t>
  </si>
  <si>
    <t>事業所得から控除する専従者給与合計</t>
  </si>
  <si>
    <t>不動産所得から控除する専従者給与合計</t>
  </si>
  <si>
    <t>地震保険料</t>
  </si>
  <si>
    <t>≪地震保険料の支払内訳≫</t>
  </si>
  <si>
    <t>(注)平成18年12月31日までに締結した</t>
  </si>
  <si>
    <t xml:space="preserve">    長期損害保険契約の支払保険料</t>
  </si>
  <si>
    <t>≪住宅借入金等特別控除≫</t>
  </si>
  <si>
    <t>住民税から控除する住宅借入金等特別控除</t>
  </si>
  <si>
    <t>税源移譲前後の所得税差額</t>
  </si>
  <si>
    <t>居住開始年月日</t>
  </si>
  <si>
    <t>政党等寄付金特別控除</t>
  </si>
  <si>
    <t>災害減免、外国税額控除</t>
  </si>
  <si>
    <t>試験研究費､教育訓練費､その他投資税額控除</t>
  </si>
  <si>
    <t>再差引所得税額</t>
  </si>
  <si>
    <t>所得税で申告をしないことを選択した非上場株式の少額配当等の金額</t>
  </si>
  <si>
    <t>≪上場株式等の配当等について所得税で確定申告した配当所得に対する配当割額≫</t>
  </si>
  <si>
    <t>≪配当所得の内訳≫</t>
  </si>
  <si>
    <t>配当所得のうち配当控除の対象となるもの</t>
  </si>
  <si>
    <t>剰余金の配当等に係る配当所得の金額</t>
  </si>
  <si>
    <t>特定証券投資信託で外貨建等証券投資信託の金額</t>
  </si>
  <si>
    <t>特定証券投資信託で外貨建等証券投資信託以外に係る金額</t>
  </si>
  <si>
    <t>配当所得のうち配当控除の対象とならないものの金額</t>
  </si>
  <si>
    <t>配当所得のうち配当控除の対象とならないもの</t>
  </si>
  <si>
    <r>
      <t>住宅借入金等特別控除</t>
    </r>
    <r>
      <rPr>
        <sz val="8"/>
        <rFont val="ＭＳ 明朝"/>
        <family val="1"/>
      </rPr>
      <t>(特定増改築等)</t>
    </r>
  </si>
  <si>
    <t>電子証明書等特別控除</t>
  </si>
  <si>
    <t>地震保険料控除</t>
  </si>
  <si>
    <t>配偶者のうち特別障害者</t>
  </si>
  <si>
    <t>扶養親族のうち特別障害者</t>
  </si>
  <si>
    <t>配偶者のうちその他障害者</t>
  </si>
  <si>
    <t>扶養親族のうちその他障害者</t>
  </si>
  <si>
    <t>老人扶養親族</t>
  </si>
  <si>
    <t>所得税と住民税</t>
  </si>
  <si>
    <t>控 除 差 額</t>
  </si>
  <si>
    <t>調整控除額</t>
  </si>
  <si>
    <t>「氏名」欄は氏名を入力すると自動的に「様」が表示されます。</t>
  </si>
  <si>
    <t>ツール(T) → 保護(P) → シート保護の解除(P) → パスワード(P)「0000」→ ［OK］</t>
  </si>
  <si>
    <t>最新バージョンは、下記サイトでダウンロードして下さい。</t>
  </si>
  <si>
    <t>125万円以下の非課税等は、自動計算できるようになっています。</t>
  </si>
  <si>
    <t>分離課税には対応しておりませんが、寡婦等で合計所得金額が、</t>
  </si>
  <si>
    <t>印刷されます。</t>
  </si>
  <si>
    <t>シートは、誤って計算式を消すことの無いよう保護しております。</t>
  </si>
  <si>
    <t>編集する場合には、次の手順で、シート保護の解除を行って下さい。</t>
  </si>
  <si>
    <t>所得税確定申告書のデーターをクリーム色のセルに金額を入力</t>
  </si>
  <si>
    <t>http://www.hi-ho.ne.jp/s-okuno/down/down.html</t>
  </si>
  <si>
    <t>住所地の共同募金会、日赤支部分</t>
  </si>
  <si>
    <t>条例指定分</t>
  </si>
  <si>
    <t>都道府県</t>
  </si>
  <si>
    <t>市区町村</t>
  </si>
  <si>
    <t>都道府県、市区町村分</t>
  </si>
  <si>
    <t>≪寄付金税額控除≫</t>
  </si>
  <si>
    <t>道府県民税</t>
  </si>
  <si>
    <t>市町村民税</t>
  </si>
  <si>
    <t>特例控除額</t>
  </si>
  <si>
    <t>寄付金税額控除</t>
  </si>
  <si>
    <t>寄付金税額控除</t>
  </si>
  <si>
    <t>上場株式等の配当割額</t>
  </si>
  <si>
    <t>事業税課税所得</t>
  </si>
  <si>
    <t>事業主控除</t>
  </si>
  <si>
    <t>事業税率</t>
  </si>
  <si>
    <t>≪事業税に関する事項≫</t>
  </si>
  <si>
    <t>非課税所得金額</t>
  </si>
  <si>
    <t>損益通算の特例適用前の不動産所得</t>
  </si>
  <si>
    <t>事業用資産の譲渡損失など</t>
  </si>
  <si>
    <t>物品販売業、運送取り扱い業、料理店業、遊覧所業、保険業、船舶ていけい場業、飲食店業、</t>
  </si>
  <si>
    <t>商品取引業、金銭貸付業、倉庫業、周旋業、不動産売買業、物品貸付業、駐車場業、</t>
  </si>
  <si>
    <t>冠婚葬祭業、電気通信事業、席貸業、演劇興行業、運送業、旅館業、遊技場業</t>
  </si>
  <si>
    <t>案内業、電気供給業、出版業、両替業、土砂採取業、写真業、公共浴場業(むし風呂等)</t>
  </si>
  <si>
    <t>代理業、広告業、不動産貸付業、請負業、仲立業、興信所業、製造業、印刷業、問屋業、</t>
  </si>
  <si>
    <t>畜産業、水産業、薪炭製造業</t>
  </si>
  <si>
    <t>医業、歯科医業、薬剤師業、獣医業、弁護士業、司法書士業、行政書士業、</t>
  </si>
  <si>
    <t>公証人業、弁理士業、税理士業、公認会計士業、計理士業、社会保険労務士業、</t>
  </si>
  <si>
    <t>コンサルタント業、設計監督者業、不動産鑑定業、デザイン業、諸芸師匠業、</t>
  </si>
  <si>
    <t>理容業、美容業、クリーニング業、公衆浴場業(銭湯)、歯科衛生士業、</t>
  </si>
  <si>
    <t>歯科技工士業、測量士業、土地家屋調査士業、海事代理士業、印刷製版業、</t>
  </si>
  <si>
    <t>装蹄師業、助産師業、あんま・マッサージ等のその他医業に類する事業</t>
  </si>
  <si>
    <t>事業税の税率</t>
  </si>
  <si>
    <t>※ただし第３種事業は装蹄師業、助産師業、あんま・マッサージ等のその他医業に類する</t>
  </si>
  <si>
    <t>　第１種(37業種、税率５％)、第２業種(３業種、税率４％)、第３業種(31業種、税率５％、)</t>
  </si>
  <si>
    <t>　に分かれています。</t>
  </si>
  <si>
    <t xml:space="preserve">  事業の税率は３％となります。</t>
  </si>
  <si>
    <t>※制限税税率は標準税率の1.1倍です。</t>
  </si>
  <si>
    <t>１．事業税の税率</t>
  </si>
  <si>
    <t>事業税額</t>
  </si>
  <si>
    <t>＜建物＞</t>
  </si>
  <si>
    <t xml:space="preserve">  ・住宅</t>
  </si>
  <si>
    <t xml:space="preserve">  (1)一戸建ての場合10棟以上</t>
  </si>
  <si>
    <t xml:space="preserve">  (2)一戸建て以外は10室以上</t>
  </si>
  <si>
    <t xml:space="preserve">  ・住宅以外</t>
  </si>
  <si>
    <t xml:space="preserve">  (1)一戸建ての場合は5棟以上</t>
  </si>
  <si>
    <t>＜土地＞</t>
  </si>
  <si>
    <t xml:space="preserve">  ・住宅用</t>
  </si>
  <si>
    <t xml:space="preserve">  (1)契約件数が10以上または貸付総面積が2,000㎡以上</t>
  </si>
  <si>
    <t xml:space="preserve">  (1)契約件数が10以上</t>
  </si>
  <si>
    <t xml:space="preserve">  (1)建築物である駐車場又は機械設備を設けた駐車場(台数は問いません)</t>
  </si>
  <si>
    <t xml:space="preserve">  (2)(1)以外で駐車可能台数が10台以上の場合</t>
  </si>
  <si>
    <t>１．不動産貸付業の認定基準</t>
  </si>
  <si>
    <t>２．駐車場業の認定基準</t>
  </si>
  <si>
    <t>なお、共有物件は持分にかかわりなく、共有物件全体の貸付状況により認定し、税額は持分に応じて計算します。</t>
  </si>
  <si>
    <t>　また、独立的に区画された２以上の室を有する建物は、一棟貸しの場合でも室数により認定します。</t>
  </si>
  <si>
    <t>　上記の基準未満であっても、貸付規模等からみて、次の場合には不動産貸付業と認定されます。</t>
  </si>
  <si>
    <t xml:space="preserve">・ 劇場、映画館、ゴルフ練習場等の競技、遊技、娯楽集会等のために基本的設備を施した不動産を貸付けている場合 </t>
  </si>
  <si>
    <t xml:space="preserve">・ 旅館、ホテル、地域医療支援病院（旧総合病院）などの特定の業務用途に供している建物を貸付けている場合  </t>
  </si>
  <si>
    <t>≪参考≫</t>
  </si>
  <si>
    <t>≪人的控除差調整額≫</t>
  </si>
  <si>
    <t>所得税の人的控除額合計</t>
  </si>
  <si>
    <t>住民税の人的控除額計</t>
  </si>
  <si>
    <t>人的控除差調整額</t>
  </si>
  <si>
    <t>第１種事業</t>
  </si>
  <si>
    <t>第２種事業</t>
  </si>
  <si>
    <t>第３種事業</t>
  </si>
  <si>
    <t>して頂くと住民税及び事業税が自動計算されるようになっています。</t>
  </si>
  <si>
    <t>計算結果などに間違いがありましたら、E-mailにてご連絡下さい。</t>
  </si>
  <si>
    <t>s-okuno@hi-ho.ne.jp</t>
  </si>
  <si>
    <t>１ページ目だけを印刷すれば、所得税、市府民税及び事業税の計算結果のみ</t>
  </si>
  <si>
    <t>作成しましたので、よろしければお試し下さい。</t>
  </si>
  <si>
    <t>所</t>
  </si>
  <si>
    <t>事</t>
  </si>
  <si>
    <t>業</t>
  </si>
  <si>
    <t>第１種事業、第２種事業、第３種事業の具体的な業種</t>
  </si>
  <si>
    <t>(注)一月未満の端数は切り上げ</t>
  </si>
  <si>
    <t>旧長期契約損害保険料</t>
  </si>
  <si>
    <t>地震保険料及び旧長期契約損害保険料に該当</t>
  </si>
  <si>
    <t>本年分で差し引く繰り越し損失額</t>
  </si>
  <si>
    <t>所得税</t>
  </si>
  <si>
    <t>住民税</t>
  </si>
  <si>
    <t>事業税</t>
  </si>
  <si>
    <t>平成22年</t>
  </si>
  <si>
    <t>住宅耐震改修､住宅特定改修､認定長期優良住宅新築等特別控除</t>
  </si>
  <si>
    <t>地方税法附則第5条の4(旧法)住民税から控除する住宅借入金等特別控除</t>
  </si>
  <si>
    <t>地方税法附則第5条の4(旧法)の適用</t>
  </si>
  <si>
    <t>※地方税法附則第５条の４（旧法）を選択する方が有利となります。</t>
  </si>
  <si>
    <t>地方税法附則第５条の４（旧法）を選択する方が有利となり場合には、次の</t>
  </si>
  <si>
    <t>メッセージが表示されます。</t>
  </si>
  <si>
    <t>　「市町村民税住宅借入金等特別控除申告書」を提出して下さい。</t>
  </si>
  <si>
    <t xml:space="preserve">・ 貸付用建物の総床面積が６００㎡以上であり、かつ、この建物の賃貸料収入金額が年１,０００万円以上の場合 </t>
  </si>
  <si>
    <t>しない</t>
  </si>
  <si>
    <t>しない</t>
  </si>
  <si>
    <t>する</t>
  </si>
  <si>
    <t>を選択して下さい。</t>
  </si>
  <si>
    <t>大阪市、堺市、八尾市の市町村の条例で定める金額等は次のとおりです。</t>
  </si>
  <si>
    <t>大阪市市民税均等割  3,000円</t>
  </si>
  <si>
    <t>堺市市民税均等割    3,000円</t>
  </si>
  <si>
    <t>八尾市市民税均等割  3,000円</t>
  </si>
  <si>
    <t>大阪府府民税均等割  1,000円</t>
  </si>
  <si>
    <t>※税率を入力して下さい。（整数を入力すれば、%は自動表示されます。）</t>
  </si>
  <si>
    <t>所得税から控除できない住宅借入金等特別控除</t>
  </si>
  <si>
    <t>　住宅借入金等特別控除を地方税法附則第５条の４（旧法）によることを選択する場合には、</t>
  </si>
  <si>
    <t xml:space="preserve">  「市町村民税住宅借入金等特別控除申告書」を確定申告期限内に提出して下さい。</t>
  </si>
  <si>
    <t>※平成11年1月1日～平成18年12月31日の間に居住された方で、住民税から控除する</t>
  </si>
  <si>
    <t>人 数</t>
  </si>
  <si>
    <t>事業税が課税されない不動産所得の金額</t>
  </si>
  <si>
    <t>平成21年に事業を営んでいた月数</t>
  </si>
  <si>
    <t>(注)青色申告特別控除前の不動産所得の金額を入力して下さい。</t>
  </si>
  <si>
    <t>平成22年分所得税及び平成23年度住民税計算書</t>
  </si>
  <si>
    <t>平成23年</t>
  </si>
  <si>
    <t>Ｅｘｃｅｌにより「平成23年度住民税計算書、平成22年度事業税計算書」を</t>
  </si>
  <si>
    <t>≪地震保険料入力上の注意事項≫</t>
  </si>
  <si>
    <t>【事例】</t>
  </si>
  <si>
    <t>30,000円</t>
  </si>
  <si>
    <t>33,000円</t>
  </si>
  <si>
    <r>
      <t>地震保険料及び旧長期契約損害保険料に該当する契約</t>
    </r>
    <r>
      <rPr>
        <b/>
        <sz val="11"/>
        <rFont val="ＭＳ 明朝"/>
        <family val="1"/>
      </rPr>
      <t>（Ａ）</t>
    </r>
  </si>
  <si>
    <r>
      <t>地震保険料及び旧長期契約損害保険料に該当する契約</t>
    </r>
    <r>
      <rPr>
        <b/>
        <sz val="11"/>
        <rFont val="ＭＳ 明朝"/>
        <family val="1"/>
      </rPr>
      <t>（Ｂ）</t>
    </r>
  </si>
  <si>
    <t>地震保険料  3,000円</t>
  </si>
  <si>
    <t xml:space="preserve">  旧長期契約損害保険料  30,000円</t>
  </si>
  <si>
    <t>地震保険料 20,000円</t>
  </si>
  <si>
    <t xml:space="preserve">  旧長期契約損害保険料  10,000円</t>
  </si>
  <si>
    <t xml:space="preserve">  上記のような（Ａ）、（Ｂ）の保険契約がある場合、</t>
  </si>
  <si>
    <t xml:space="preserve">  ［地震保険料及び旧長期契約損害保険料に該当］欄に</t>
  </si>
  <si>
    <t>地震保険料 23,000円</t>
  </si>
  <si>
    <t xml:space="preserve">  旧長期契約損害保険料  40,000円</t>
  </si>
  <si>
    <t>と入力しますと、「地震保険料控除額」は、23,000円となります。</t>
  </si>
  <si>
    <r>
      <rPr>
        <sz val="11"/>
        <rFont val="ＭＳ Ｐゴシック"/>
        <family val="3"/>
      </rPr>
      <t>１．</t>
    </r>
    <r>
      <rPr>
        <sz val="11"/>
        <rFont val="ＭＳ 明朝"/>
        <family val="1"/>
      </rPr>
      <t xml:space="preserve">  ［地震保険料及び旧長期契約損害保険料に該当］欄に</t>
    </r>
  </si>
  <si>
    <r>
      <rPr>
        <sz val="11"/>
        <rFont val="ＭＳ Ｐゴシック"/>
        <family val="3"/>
      </rPr>
      <t>２．</t>
    </r>
    <r>
      <rPr>
        <sz val="11"/>
        <rFont val="ＭＳ 明朝"/>
        <family val="1"/>
      </rPr>
      <t xml:space="preserve">  ［旧長期契約損害保険料］欄に  30,000円</t>
    </r>
  </si>
  <si>
    <t>と入力しますと、「地震保険料控除額」は、35,000円となります。</t>
  </si>
  <si>
    <t xml:space="preserve">  地震保険料及び旧長期契約損害保険料に該当する契約が複数ある場合</t>
  </si>
  <si>
    <t>支払保険料の入力の仕方により地震保険料控除額が異なります。</t>
  </si>
  <si>
    <t>「地震保険料控除額」を計算することができます。</t>
  </si>
  <si>
    <t xml:space="preserve">  したがって、２． のように入力することにより、有利な</t>
  </si>
  <si>
    <t>平成23年度事業税計算書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</si>
</sst>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人&quot;"/>
    <numFmt numFmtId="177" formatCode="0_);[Red]\(0\)"/>
    <numFmt numFmtId="178" formatCode="@\ \ &quot;様&quot;"/>
    <numFmt numFmtId="179" formatCode="[$-411]ggge&quot;年&quot;m&quot;月&quot;d&quot;日&quot;;@"/>
    <numFmt numFmtId="180" formatCode="[$-411]ge\.m\.d;@"/>
    <numFmt numFmtId="181" formatCode="#,##0.000;[Red]\-#,##0.000"/>
    <numFmt numFmtId="182" formatCode="#,##0;&quot;△ &quot;#,##0"/>
    <numFmt numFmtId="183" formatCode="#,##0_ "/>
    <numFmt numFmtId="184" formatCode="m&quot;月&quot;d&quot;日&quot;;@"/>
    <numFmt numFmtId="185" formatCode="0\ &quot;月&quot;"/>
    <numFmt numFmtId="186" formatCode="0_ "/>
    <numFmt numFmtId="187" formatCode="#,##0.0000;[Red]\-#,##0.0000"/>
    <numFmt numFmtId="188" formatCode="#,##0.0;[Red]\-#,##0.0"/>
    <numFmt numFmtId="189" formatCode="0;&quot;△ &quot;0"/>
    <numFmt numFmtId="190" formatCode="#,##0_ ;[Red]\-#,##0\ "/>
  </numFmts>
  <fonts count="51">
    <font>
      <sz val="11"/>
      <name val="ＭＳ 明朝"/>
      <family val="1"/>
    </font>
    <font>
      <sz val="6"/>
      <name val="ＭＳ 明朝"/>
      <family val="1"/>
    </font>
    <font>
      <sz val="11"/>
      <name val="ＭＳ ゴシック"/>
      <family val="3"/>
    </font>
    <font>
      <sz val="11"/>
      <color indexed="63"/>
      <name val="ＭＳ 明朝"/>
      <family val="1"/>
    </font>
    <font>
      <sz val="8"/>
      <name val="ＭＳ 明朝"/>
      <family val="1"/>
    </font>
    <font>
      <sz val="10"/>
      <name val="ＭＳ 明朝"/>
      <family val="1"/>
    </font>
    <font>
      <u val="single"/>
      <sz val="11"/>
      <color indexed="12"/>
      <name val="ＭＳ 明朝"/>
      <family val="1"/>
    </font>
    <font>
      <u val="single"/>
      <sz val="11"/>
      <color indexed="36"/>
      <name val="ＭＳ 明朝"/>
      <family val="1"/>
    </font>
    <font>
      <sz val="9"/>
      <name val="ＭＳ 明朝"/>
      <family val="1"/>
    </font>
    <font>
      <sz val="11"/>
      <name val="ＭＳ Ｐ明朝"/>
      <family val="1"/>
    </font>
    <font>
      <b/>
      <sz val="11"/>
      <name val="ＭＳ Ｐゴシック"/>
      <family val="3"/>
    </font>
    <font>
      <b/>
      <sz val="11"/>
      <name val="ＭＳ 明朝"/>
      <family val="1"/>
    </font>
    <font>
      <sz val="8"/>
      <name val="ＭＳ Ｐ明朝"/>
      <family val="1"/>
    </font>
    <font>
      <sz val="11"/>
      <color indexed="10"/>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lightGray">
        <fgColor indexed="43"/>
      </patternFill>
    </fill>
    <fill>
      <patternFill patternType="lightGray">
        <fgColor indexed="42"/>
      </patternFill>
    </fill>
    <fill>
      <patternFill patternType="lightGray">
        <fgColor indexed="40"/>
      </patternFill>
    </fill>
    <fill>
      <patternFill patternType="lightGray">
        <fgColor indexed="22"/>
      </patternFill>
    </fill>
    <fill>
      <patternFill patternType="lightGray">
        <fgColor indexed="11"/>
      </patternFill>
    </fill>
    <fill>
      <patternFill patternType="lightGray">
        <fgColor indexed="4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235">
    <xf numFmtId="0" fontId="0" fillId="0" borderId="0" xfId="0" applyAlignment="1">
      <alignment vertical="center"/>
    </xf>
    <xf numFmtId="38" fontId="0" fillId="0" borderId="0" xfId="49" applyFont="1" applyAlignment="1">
      <alignment vertical="center"/>
    </xf>
    <xf numFmtId="0" fontId="3"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4" borderId="10" xfId="0" applyFill="1" applyBorder="1" applyAlignment="1">
      <alignment vertical="center"/>
    </xf>
    <xf numFmtId="0" fontId="2" fillId="34" borderId="10" xfId="0" applyFont="1" applyFill="1" applyBorder="1" applyAlignment="1">
      <alignment vertical="center"/>
    </xf>
    <xf numFmtId="0" fontId="0" fillId="34" borderId="11" xfId="0" applyFill="1" applyBorder="1" applyAlignment="1">
      <alignment vertical="center"/>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16" xfId="0" applyFill="1" applyBorder="1" applyAlignment="1">
      <alignment vertical="center" shrinkToFit="1"/>
    </xf>
    <xf numFmtId="0" fontId="0" fillId="0" borderId="16" xfId="0" applyFill="1" applyBorder="1" applyAlignment="1">
      <alignment horizontal="distributed" vertical="center"/>
    </xf>
    <xf numFmtId="38" fontId="0" fillId="0" borderId="16" xfId="49" applyFont="1" applyFill="1" applyBorder="1" applyAlignment="1">
      <alignment vertical="center"/>
    </xf>
    <xf numFmtId="0" fontId="0" fillId="0" borderId="17" xfId="0" applyFill="1" applyBorder="1" applyAlignment="1">
      <alignment horizontal="distributed" vertical="center"/>
    </xf>
    <xf numFmtId="0" fontId="0" fillId="0" borderId="18" xfId="0" applyFill="1" applyBorder="1" applyAlignment="1">
      <alignment horizontal="distributed" vertical="center"/>
    </xf>
    <xf numFmtId="0" fontId="0" fillId="0" borderId="16" xfId="0" applyFill="1" applyBorder="1" applyAlignment="1">
      <alignment horizontal="right" vertical="center"/>
    </xf>
    <xf numFmtId="38" fontId="0" fillId="0" borderId="16" xfId="49" applyFont="1" applyFill="1" applyBorder="1" applyAlignment="1">
      <alignment vertical="center"/>
    </xf>
    <xf numFmtId="38" fontId="0" fillId="0" borderId="16" xfId="49" applyFill="1" applyBorder="1" applyAlignment="1">
      <alignment vertical="center"/>
    </xf>
    <xf numFmtId="0" fontId="0" fillId="0" borderId="19" xfId="0" applyFill="1" applyBorder="1" applyAlignment="1">
      <alignment horizontal="distributed" vertical="center"/>
    </xf>
    <xf numFmtId="38" fontId="0" fillId="0" borderId="0" xfId="49" applyFill="1" applyAlignment="1">
      <alignment vertical="center"/>
    </xf>
    <xf numFmtId="0" fontId="0" fillId="0" borderId="20" xfId="0" applyFill="1" applyBorder="1" applyAlignment="1">
      <alignment horizontal="distributed" vertical="center"/>
    </xf>
    <xf numFmtId="0" fontId="0" fillId="0" borderId="0" xfId="0" applyFill="1" applyBorder="1" applyAlignment="1">
      <alignment horizontal="right" vertical="center"/>
    </xf>
    <xf numFmtId="0" fontId="0" fillId="0" borderId="21" xfId="0" applyFill="1" applyBorder="1" applyAlignment="1">
      <alignment horizontal="distributed" vertical="center"/>
    </xf>
    <xf numFmtId="38" fontId="0" fillId="0" borderId="0" xfId="0" applyNumberFormat="1" applyFill="1" applyBorder="1" applyAlignment="1">
      <alignment vertical="center"/>
    </xf>
    <xf numFmtId="38" fontId="0" fillId="0" borderId="18"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38" fontId="0" fillId="0" borderId="0" xfId="49" applyFont="1" applyFill="1" applyBorder="1" applyAlignment="1">
      <alignment horizontal="right" vertical="center"/>
    </xf>
    <xf numFmtId="0" fontId="0" fillId="0" borderId="24" xfId="0" applyFill="1" applyBorder="1" applyAlignment="1">
      <alignment horizontal="distributed" vertical="center"/>
    </xf>
    <xf numFmtId="38" fontId="0" fillId="0" borderId="19"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0" fontId="0" fillId="0" borderId="28" xfId="0" applyFill="1" applyBorder="1" applyAlignment="1">
      <alignment horizontal="distributed" vertical="center"/>
    </xf>
    <xf numFmtId="38" fontId="0" fillId="0" borderId="29" xfId="49" applyFont="1" applyFill="1" applyBorder="1" applyAlignment="1">
      <alignment vertical="center"/>
    </xf>
    <xf numFmtId="0" fontId="0" fillId="0" borderId="18" xfId="0" applyFill="1" applyBorder="1" applyAlignment="1">
      <alignment vertical="center"/>
    </xf>
    <xf numFmtId="0" fontId="0" fillId="0" borderId="30" xfId="0" applyFill="1" applyBorder="1" applyAlignment="1">
      <alignment vertical="center"/>
    </xf>
    <xf numFmtId="0" fontId="0" fillId="0" borderId="18" xfId="0" applyBorder="1" applyAlignment="1">
      <alignment vertical="center"/>
    </xf>
    <xf numFmtId="0" fontId="0" fillId="0" borderId="30" xfId="0" applyBorder="1" applyAlignment="1">
      <alignment vertical="center"/>
    </xf>
    <xf numFmtId="38" fontId="0" fillId="0" borderId="16" xfId="49" applyFont="1" applyFill="1" applyBorder="1" applyAlignment="1">
      <alignment horizontal="right" vertical="center"/>
    </xf>
    <xf numFmtId="38" fontId="0" fillId="0" borderId="16" xfId="49" applyFont="1" applyBorder="1" applyAlignment="1">
      <alignment vertical="center"/>
    </xf>
    <xf numFmtId="38" fontId="0" fillId="0" borderId="16" xfId="49" applyFont="1" applyBorder="1" applyAlignment="1">
      <alignment vertical="center" shrinkToFit="1"/>
    </xf>
    <xf numFmtId="38" fontId="0" fillId="0" borderId="16" xfId="49" applyFont="1" applyBorder="1" applyAlignment="1">
      <alignment horizontal="right" vertical="center"/>
    </xf>
    <xf numFmtId="0" fontId="0" fillId="0" borderId="16" xfId="0" applyBorder="1" applyAlignment="1">
      <alignment horizontal="right" vertical="center"/>
    </xf>
    <xf numFmtId="0" fontId="0" fillId="0" borderId="16" xfId="0" applyBorder="1" applyAlignment="1">
      <alignment horizontal="center" vertical="center"/>
    </xf>
    <xf numFmtId="0" fontId="0" fillId="0" borderId="16" xfId="0" applyFont="1" applyFill="1" applyBorder="1" applyAlignment="1">
      <alignment horizontal="center" vertical="center"/>
    </xf>
    <xf numFmtId="178" fontId="0" fillId="0" borderId="0" xfId="0" applyNumberFormat="1" applyFill="1" applyAlignment="1" applyProtection="1">
      <alignment vertical="center"/>
      <protection locked="0"/>
    </xf>
    <xf numFmtId="0" fontId="0" fillId="34" borderId="10" xfId="0" applyFill="1" applyBorder="1" applyAlignment="1">
      <alignment horizontal="center" vertical="center"/>
    </xf>
    <xf numFmtId="0" fontId="5" fillId="0" borderId="0" xfId="0" applyFont="1" applyFill="1" applyAlignment="1">
      <alignment vertical="center"/>
    </xf>
    <xf numFmtId="180" fontId="0" fillId="0" borderId="0" xfId="0" applyNumberFormat="1" applyAlignment="1">
      <alignment vertical="center"/>
    </xf>
    <xf numFmtId="0" fontId="0" fillId="0" borderId="21" xfId="0" applyFill="1" applyBorder="1" applyAlignment="1">
      <alignment vertical="center" shrinkToFit="1"/>
    </xf>
    <xf numFmtId="0" fontId="0" fillId="0" borderId="21" xfId="0" applyFont="1" applyFill="1" applyBorder="1" applyAlignment="1">
      <alignment vertical="center" shrinkToFit="1"/>
    </xf>
    <xf numFmtId="38" fontId="0" fillId="0" borderId="16" xfId="49" applyFont="1" applyBorder="1" applyAlignment="1" applyProtection="1">
      <alignment vertical="center"/>
      <protection/>
    </xf>
    <xf numFmtId="38" fontId="0" fillId="0" borderId="0" xfId="49" applyFont="1" applyFill="1" applyBorder="1" applyAlignment="1">
      <alignment horizontal="center" vertical="center" shrinkToFit="1"/>
    </xf>
    <xf numFmtId="0" fontId="0" fillId="0" borderId="0" xfId="0" applyBorder="1" applyAlignment="1">
      <alignment horizontal="center" vertical="center" shrinkToFit="1"/>
    </xf>
    <xf numFmtId="38" fontId="0" fillId="0" borderId="0" xfId="49" applyFont="1" applyFill="1" applyBorder="1" applyAlignment="1" applyProtection="1">
      <alignment vertical="center"/>
      <protection locked="0"/>
    </xf>
    <xf numFmtId="0" fontId="0" fillId="36" borderId="10" xfId="0" applyFill="1" applyBorder="1" applyAlignment="1">
      <alignment vertical="center"/>
    </xf>
    <xf numFmtId="0" fontId="0" fillId="36" borderId="10" xfId="0" applyFill="1" applyBorder="1" applyAlignment="1">
      <alignment horizontal="center" vertical="center"/>
    </xf>
    <xf numFmtId="0" fontId="2" fillId="36" borderId="10" xfId="0" applyFont="1" applyFill="1" applyBorder="1" applyAlignment="1">
      <alignment horizontal="center" vertical="center"/>
    </xf>
    <xf numFmtId="0" fontId="0" fillId="36" borderId="11" xfId="0" applyFill="1" applyBorder="1" applyAlignment="1">
      <alignment horizontal="center" vertical="center"/>
    </xf>
    <xf numFmtId="38" fontId="0" fillId="37" borderId="29" xfId="49" applyFont="1" applyFill="1" applyBorder="1" applyAlignment="1" applyProtection="1">
      <alignment vertical="center"/>
      <protection locked="0"/>
    </xf>
    <xf numFmtId="38" fontId="0" fillId="37" borderId="16" xfId="49" applyFont="1" applyFill="1" applyBorder="1" applyAlignment="1" applyProtection="1">
      <alignment vertical="center"/>
      <protection locked="0"/>
    </xf>
    <xf numFmtId="176" fontId="0" fillId="37" borderId="16" xfId="0" applyNumberFormat="1" applyFill="1" applyBorder="1" applyAlignment="1" applyProtection="1">
      <alignment vertical="center"/>
      <protection locked="0"/>
    </xf>
    <xf numFmtId="38" fontId="0" fillId="37" borderId="16" xfId="49" applyFill="1" applyBorder="1" applyAlignment="1" applyProtection="1">
      <alignment vertical="center"/>
      <protection locked="0"/>
    </xf>
    <xf numFmtId="0" fontId="0" fillId="37" borderId="16" xfId="0" applyFill="1" applyBorder="1" applyAlignment="1" applyProtection="1">
      <alignment vertical="center" shrinkToFit="1"/>
      <protection locked="0"/>
    </xf>
    <xf numFmtId="180" fontId="0" fillId="37" borderId="16" xfId="49" applyNumberFormat="1" applyFont="1" applyFill="1" applyBorder="1" applyAlignment="1" applyProtection="1">
      <alignment vertical="center"/>
      <protection locked="0"/>
    </xf>
    <xf numFmtId="0" fontId="0" fillId="38" borderId="15" xfId="0" applyFill="1" applyBorder="1" applyAlignment="1">
      <alignment horizontal="center" vertical="center"/>
    </xf>
    <xf numFmtId="0" fontId="0" fillId="38" borderId="14" xfId="0" applyFill="1" applyBorder="1" applyAlignment="1">
      <alignment horizontal="distributed" vertical="center"/>
    </xf>
    <xf numFmtId="38" fontId="0" fillId="38" borderId="14" xfId="49" applyFont="1" applyFill="1" applyBorder="1" applyAlignment="1">
      <alignment horizontal="right" vertical="center"/>
    </xf>
    <xf numFmtId="0" fontId="0" fillId="38" borderId="15" xfId="0" applyFill="1" applyBorder="1" applyAlignment="1">
      <alignment horizontal="distributed" vertical="center"/>
    </xf>
    <xf numFmtId="182" fontId="0" fillId="0" borderId="22" xfId="49" applyNumberFormat="1" applyFont="1" applyFill="1" applyBorder="1" applyAlignment="1">
      <alignment vertical="center"/>
    </xf>
    <xf numFmtId="182" fontId="0" fillId="0" borderId="23" xfId="0" applyNumberFormat="1" applyFill="1" applyBorder="1" applyAlignment="1">
      <alignment vertical="center"/>
    </xf>
    <xf numFmtId="0" fontId="0" fillId="0" borderId="31" xfId="0" applyFont="1" applyBorder="1" applyAlignment="1">
      <alignment horizontal="center" vertical="center" shrinkToFit="1"/>
    </xf>
    <xf numFmtId="0" fontId="8" fillId="0" borderId="32" xfId="0" applyFont="1" applyBorder="1" applyAlignment="1">
      <alignment horizontal="center" vertical="center"/>
    </xf>
    <xf numFmtId="0" fontId="6" fillId="0" borderId="0" xfId="43" applyAlignment="1" applyProtection="1">
      <alignment vertical="center"/>
      <protection/>
    </xf>
    <xf numFmtId="0" fontId="0" fillId="0" borderId="1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6" xfId="0" applyFill="1" applyBorder="1" applyAlignment="1">
      <alignment horizontal="distributed" vertical="center" shrinkToFit="1"/>
    </xf>
    <xf numFmtId="0" fontId="0" fillId="0" borderId="22" xfId="0" applyFill="1" applyBorder="1" applyAlignment="1">
      <alignment horizontal="distributed" vertical="center"/>
    </xf>
    <xf numFmtId="0" fontId="5" fillId="0" borderId="19" xfId="0" applyFont="1" applyFill="1" applyBorder="1" applyAlignment="1">
      <alignment horizontal="distributed" vertical="center"/>
    </xf>
    <xf numFmtId="0" fontId="9" fillId="0" borderId="0" xfId="0" applyFont="1" applyAlignment="1">
      <alignment vertical="center"/>
    </xf>
    <xf numFmtId="0" fontId="9" fillId="39" borderId="28" xfId="0" applyFont="1" applyFill="1" applyBorder="1" applyAlignment="1">
      <alignment vertical="center"/>
    </xf>
    <xf numFmtId="0" fontId="0" fillId="39" borderId="0" xfId="0" applyFill="1" applyBorder="1" applyAlignment="1">
      <alignment vertical="center"/>
    </xf>
    <xf numFmtId="0" fontId="0" fillId="39" borderId="33" xfId="0" applyFill="1" applyBorder="1" applyAlignment="1">
      <alignment vertical="center"/>
    </xf>
    <xf numFmtId="0" fontId="0" fillId="40" borderId="0" xfId="0" applyFill="1" applyBorder="1" applyAlignment="1">
      <alignment vertical="center"/>
    </xf>
    <xf numFmtId="0" fontId="0" fillId="40" borderId="17" xfId="0" applyFill="1" applyBorder="1" applyAlignment="1">
      <alignment vertical="center"/>
    </xf>
    <xf numFmtId="0" fontId="0" fillId="41" borderId="17" xfId="0" applyFill="1" applyBorder="1" applyAlignment="1">
      <alignment vertical="center"/>
    </xf>
    <xf numFmtId="9" fontId="0" fillId="37" borderId="16" xfId="0" applyNumberFormat="1" applyFill="1" applyBorder="1" applyAlignment="1" applyProtection="1">
      <alignment vertical="center"/>
      <protection locked="0"/>
    </xf>
    <xf numFmtId="185" fontId="0" fillId="37" borderId="16" xfId="0" applyNumberFormat="1" applyFill="1" applyBorder="1" applyAlignment="1" applyProtection="1">
      <alignment vertical="center"/>
      <protection locked="0"/>
    </xf>
    <xf numFmtId="187" fontId="0" fillId="0" borderId="0" xfId="49" applyNumberFormat="1" applyFont="1" applyAlignment="1">
      <alignment vertical="center"/>
    </xf>
    <xf numFmtId="188" fontId="0" fillId="0" borderId="0" xfId="49" applyNumberFormat="1" applyFont="1" applyAlignment="1">
      <alignment vertical="center"/>
    </xf>
    <xf numFmtId="38" fontId="0" fillId="0" borderId="0" xfId="0" applyNumberFormat="1" applyAlignment="1">
      <alignment vertical="center"/>
    </xf>
    <xf numFmtId="38" fontId="0" fillId="0" borderId="16" xfId="0" applyNumberFormat="1" applyBorder="1" applyAlignment="1">
      <alignment vertical="center"/>
    </xf>
    <xf numFmtId="0" fontId="0" fillId="0" borderId="34" xfId="0" applyFill="1" applyBorder="1" applyAlignment="1" applyProtection="1">
      <alignment horizontal="distributed" vertical="center"/>
      <protection/>
    </xf>
    <xf numFmtId="0" fontId="0" fillId="0" borderId="25"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10" xfId="0" applyFill="1" applyBorder="1" applyAlignment="1" applyProtection="1">
      <alignment horizontal="distributed" vertical="center"/>
      <protection/>
    </xf>
    <xf numFmtId="0" fontId="0" fillId="38" borderId="15" xfId="0" applyFill="1" applyBorder="1" applyAlignment="1" applyProtection="1">
      <alignment horizontal="distributed" vertical="center"/>
      <protection/>
    </xf>
    <xf numFmtId="0" fontId="10" fillId="39" borderId="35" xfId="0" applyFont="1" applyFill="1" applyBorder="1" applyAlignment="1">
      <alignment vertical="center"/>
    </xf>
    <xf numFmtId="0" fontId="0" fillId="39" borderId="36" xfId="0" applyFill="1" applyBorder="1" applyAlignment="1">
      <alignment vertical="center"/>
    </xf>
    <xf numFmtId="0" fontId="0" fillId="39" borderId="36" xfId="0" applyFill="1" applyBorder="1" applyAlignment="1">
      <alignment vertical="center"/>
    </xf>
    <xf numFmtId="0" fontId="0" fillId="39" borderId="37" xfId="0" applyFill="1" applyBorder="1" applyAlignment="1">
      <alignment vertical="center"/>
    </xf>
    <xf numFmtId="0" fontId="11" fillId="40" borderId="20" xfId="0" applyFont="1" applyFill="1" applyBorder="1" applyAlignment="1">
      <alignment vertical="center"/>
    </xf>
    <xf numFmtId="0" fontId="0" fillId="40" borderId="38" xfId="0" applyFill="1" applyBorder="1" applyAlignment="1">
      <alignment vertical="center"/>
    </xf>
    <xf numFmtId="0" fontId="0" fillId="40" borderId="28" xfId="0" applyFill="1" applyBorder="1" applyAlignment="1">
      <alignment vertical="center"/>
    </xf>
    <xf numFmtId="0" fontId="0" fillId="40" borderId="33" xfId="0" applyFill="1" applyBorder="1" applyAlignment="1">
      <alignment vertical="center"/>
    </xf>
    <xf numFmtId="0" fontId="0" fillId="40" borderId="39" xfId="0" applyFill="1" applyBorder="1" applyAlignment="1">
      <alignment vertical="center"/>
    </xf>
    <xf numFmtId="0" fontId="0" fillId="40" borderId="40" xfId="0" applyFill="1" applyBorder="1" applyAlignment="1">
      <alignment vertical="center"/>
    </xf>
    <xf numFmtId="0" fontId="0" fillId="40" borderId="41" xfId="0" applyFill="1" applyBorder="1" applyAlignment="1">
      <alignment vertical="center"/>
    </xf>
    <xf numFmtId="0" fontId="11" fillId="41" borderId="20" xfId="0" applyFont="1" applyFill="1" applyBorder="1" applyAlignment="1">
      <alignment vertical="center"/>
    </xf>
    <xf numFmtId="0" fontId="0" fillId="41" borderId="38" xfId="0" applyFill="1" applyBorder="1" applyAlignment="1">
      <alignment vertical="center"/>
    </xf>
    <xf numFmtId="0" fontId="9" fillId="39" borderId="39" xfId="0" applyFont="1" applyFill="1" applyBorder="1" applyAlignment="1">
      <alignment vertical="center"/>
    </xf>
    <xf numFmtId="0" fontId="0" fillId="39" borderId="40" xfId="0" applyFill="1" applyBorder="1" applyAlignment="1">
      <alignment vertical="center"/>
    </xf>
    <xf numFmtId="0" fontId="0" fillId="39" borderId="41" xfId="0" applyFill="1" applyBorder="1" applyAlignment="1">
      <alignment vertical="center"/>
    </xf>
    <xf numFmtId="0" fontId="0" fillId="41" borderId="42" xfId="0" applyFill="1" applyBorder="1" applyAlignment="1">
      <alignment vertical="center"/>
    </xf>
    <xf numFmtId="0" fontId="0" fillId="41" borderId="43" xfId="0" applyFill="1" applyBorder="1" applyAlignment="1">
      <alignment vertical="center"/>
    </xf>
    <xf numFmtId="0" fontId="0" fillId="41" borderId="44" xfId="0" applyFill="1" applyBorder="1" applyAlignment="1">
      <alignment vertical="center"/>
    </xf>
    <xf numFmtId="0" fontId="0" fillId="38" borderId="12" xfId="0" applyFill="1" applyBorder="1" applyAlignment="1">
      <alignment horizontal="center" vertical="center"/>
    </xf>
    <xf numFmtId="0" fontId="2" fillId="33" borderId="45" xfId="0" applyFont="1" applyFill="1" applyBorder="1" applyAlignment="1">
      <alignment vertical="center"/>
    </xf>
    <xf numFmtId="0" fontId="0" fillId="42" borderId="45" xfId="0" applyFill="1" applyBorder="1" applyAlignment="1">
      <alignment vertical="center"/>
    </xf>
    <xf numFmtId="0" fontId="0" fillId="42" borderId="10" xfId="0" applyFill="1" applyBorder="1" applyAlignment="1">
      <alignment vertical="center"/>
    </xf>
    <xf numFmtId="0" fontId="0" fillId="42" borderId="11" xfId="0" applyFill="1" applyBorder="1" applyAlignment="1">
      <alignment vertical="center"/>
    </xf>
    <xf numFmtId="0" fontId="2" fillId="34" borderId="10" xfId="0" applyFont="1" applyFill="1" applyBorder="1" applyAlignment="1">
      <alignment horizontal="center" vertical="center"/>
    </xf>
    <xf numFmtId="0" fontId="5" fillId="0" borderId="0" xfId="0" applyFont="1" applyAlignment="1">
      <alignment vertical="center"/>
    </xf>
    <xf numFmtId="38" fontId="0" fillId="0" borderId="29" xfId="49" applyFont="1" applyFill="1" applyBorder="1" applyAlignment="1" applyProtection="1">
      <alignment vertical="center"/>
      <protection locked="0"/>
    </xf>
    <xf numFmtId="0" fontId="8" fillId="0" borderId="30" xfId="0" applyFont="1" applyFill="1" applyBorder="1" applyAlignment="1">
      <alignment vertical="center"/>
    </xf>
    <xf numFmtId="0" fontId="2" fillId="33" borderId="10" xfId="0" applyFont="1" applyFill="1" applyBorder="1" applyAlignment="1">
      <alignment horizontal="center" vertical="center"/>
    </xf>
    <xf numFmtId="0" fontId="2" fillId="42" borderId="10" xfId="0" applyFont="1" applyFill="1" applyBorder="1" applyAlignment="1">
      <alignment horizontal="center" vertical="center"/>
    </xf>
    <xf numFmtId="0" fontId="0" fillId="0" borderId="18" xfId="0" applyFont="1" applyFill="1" applyBorder="1" applyAlignment="1">
      <alignment horizontal="center" vertical="center" shrinkToFit="1"/>
    </xf>
    <xf numFmtId="182" fontId="0" fillId="37" borderId="22" xfId="49" applyNumberFormat="1" applyFill="1" applyBorder="1" applyAlignment="1" applyProtection="1">
      <alignment vertical="center"/>
      <protection locked="0"/>
    </xf>
    <xf numFmtId="182" fontId="0" fillId="0" borderId="22" xfId="49" applyNumberFormat="1" applyFill="1" applyBorder="1" applyAlignment="1" applyProtection="1">
      <alignment vertical="center"/>
      <protection/>
    </xf>
    <xf numFmtId="182" fontId="0" fillId="0" borderId="22" xfId="49" applyNumberFormat="1" applyFont="1" applyFill="1" applyBorder="1" applyAlignment="1">
      <alignment horizontal="right" vertical="center"/>
    </xf>
    <xf numFmtId="182" fontId="0" fillId="0" borderId="22" xfId="49" applyNumberFormat="1" applyFill="1" applyBorder="1" applyAlignment="1">
      <alignment vertical="center"/>
    </xf>
    <xf numFmtId="182" fontId="0" fillId="0" borderId="25" xfId="49" applyNumberFormat="1" applyFill="1" applyBorder="1" applyAlignment="1">
      <alignment vertical="center"/>
    </xf>
    <xf numFmtId="182" fontId="0" fillId="38" borderId="14" xfId="0" applyNumberFormat="1" applyFill="1" applyBorder="1" applyAlignment="1">
      <alignment vertical="center"/>
    </xf>
    <xf numFmtId="182" fontId="0" fillId="0" borderId="18" xfId="49" applyNumberFormat="1" applyFont="1" applyFill="1" applyBorder="1" applyAlignment="1">
      <alignment horizontal="right" vertical="center"/>
    </xf>
    <xf numFmtId="182" fontId="0" fillId="37" borderId="27" xfId="49" applyNumberFormat="1" applyFill="1" applyBorder="1" applyAlignment="1" applyProtection="1">
      <alignment vertical="center"/>
      <protection locked="0"/>
    </xf>
    <xf numFmtId="182" fontId="0" fillId="0" borderId="38" xfId="0" applyNumberFormat="1" applyFill="1" applyBorder="1" applyAlignment="1">
      <alignment vertical="center"/>
    </xf>
    <xf numFmtId="182" fontId="0" fillId="37" borderId="25" xfId="49" applyNumberFormat="1" applyFill="1" applyBorder="1" applyAlignment="1" applyProtection="1">
      <alignment vertical="center"/>
      <protection locked="0"/>
    </xf>
    <xf numFmtId="182" fontId="0" fillId="0" borderId="26" xfId="0" applyNumberFormat="1" applyFill="1" applyBorder="1" applyAlignment="1">
      <alignment vertical="center"/>
    </xf>
    <xf numFmtId="182" fontId="0" fillId="0" borderId="27" xfId="49" applyNumberFormat="1" applyFill="1" applyBorder="1" applyAlignment="1">
      <alignment vertical="center"/>
    </xf>
    <xf numFmtId="182" fontId="0" fillId="0" borderId="17" xfId="49" applyNumberFormat="1" applyFill="1" applyBorder="1" applyAlignment="1">
      <alignment vertical="center"/>
    </xf>
    <xf numFmtId="182" fontId="0" fillId="0" borderId="38" xfId="0" applyNumberFormat="1" applyFill="1" applyBorder="1" applyAlignment="1">
      <alignment horizontal="right" vertical="center"/>
    </xf>
    <xf numFmtId="182" fontId="0" fillId="0" borderId="18" xfId="49" applyNumberFormat="1" applyFont="1" applyFill="1" applyBorder="1" applyAlignment="1">
      <alignment vertical="center"/>
    </xf>
    <xf numFmtId="182" fontId="0" fillId="0" borderId="21" xfId="49" applyNumberFormat="1" applyFill="1" applyBorder="1" applyAlignment="1">
      <alignment vertical="center"/>
    </xf>
    <xf numFmtId="182" fontId="0" fillId="37" borderId="22" xfId="49" applyNumberFormat="1" applyFill="1" applyBorder="1" applyAlignment="1">
      <alignment vertical="center"/>
    </xf>
    <xf numFmtId="182" fontId="0" fillId="38" borderId="14" xfId="49" applyNumberFormat="1" applyFont="1" applyFill="1" applyBorder="1" applyAlignment="1">
      <alignment vertical="center"/>
    </xf>
    <xf numFmtId="182" fontId="0" fillId="0" borderId="17" xfId="49" applyNumberFormat="1" applyFont="1" applyFill="1" applyBorder="1" applyAlignment="1">
      <alignment vertical="center"/>
    </xf>
    <xf numFmtId="182" fontId="0" fillId="0" borderId="27" xfId="49" applyNumberFormat="1" applyFont="1" applyFill="1" applyBorder="1" applyAlignment="1">
      <alignment vertical="center"/>
    </xf>
    <xf numFmtId="182" fontId="0" fillId="0" borderId="23" xfId="49" applyNumberFormat="1" applyFont="1" applyFill="1" applyBorder="1" applyAlignment="1">
      <alignment vertical="center"/>
    </xf>
    <xf numFmtId="182" fontId="0" fillId="0" borderId="22" xfId="0" applyNumberFormat="1" applyBorder="1" applyAlignment="1">
      <alignment vertical="center"/>
    </xf>
    <xf numFmtId="182" fontId="0" fillId="38" borderId="12" xfId="49" applyNumberFormat="1" applyFont="1" applyFill="1" applyBorder="1" applyAlignment="1">
      <alignment vertical="center"/>
    </xf>
    <xf numFmtId="182" fontId="0" fillId="38" borderId="13" xfId="0" applyNumberFormat="1" applyFill="1" applyBorder="1" applyAlignment="1">
      <alignment vertical="center"/>
    </xf>
    <xf numFmtId="182" fontId="0" fillId="0" borderId="34" xfId="49" applyNumberFormat="1" applyFill="1" applyBorder="1" applyAlignment="1" applyProtection="1">
      <alignment vertical="center"/>
      <protection/>
    </xf>
    <xf numFmtId="182" fontId="0" fillId="0" borderId="25" xfId="49" applyNumberFormat="1" applyFill="1" applyBorder="1" applyAlignment="1" applyProtection="1">
      <alignment vertical="center"/>
      <protection/>
    </xf>
    <xf numFmtId="182" fontId="0" fillId="0" borderId="14" xfId="49" applyNumberFormat="1" applyFill="1" applyBorder="1" applyAlignment="1" applyProtection="1">
      <alignment vertical="center"/>
      <protection/>
    </xf>
    <xf numFmtId="182" fontId="0" fillId="38" borderId="14" xfId="49" applyNumberFormat="1" applyFont="1" applyFill="1" applyBorder="1" applyAlignment="1" applyProtection="1">
      <alignment horizontal="right" vertical="center"/>
      <protection/>
    </xf>
    <xf numFmtId="9" fontId="0" fillId="0" borderId="10" xfId="49" applyNumberFormat="1" applyFill="1" applyBorder="1" applyAlignment="1" applyProtection="1">
      <alignment vertical="center"/>
      <protection/>
    </xf>
    <xf numFmtId="182" fontId="0" fillId="38" borderId="14" xfId="49" applyNumberFormat="1" applyFill="1" applyBorder="1" applyAlignment="1">
      <alignment vertical="center"/>
    </xf>
    <xf numFmtId="0" fontId="0" fillId="0" borderId="46" xfId="0" applyFont="1" applyFill="1" applyBorder="1" applyAlignment="1">
      <alignment horizontal="distributed" vertical="center" shrinkToFit="1"/>
    </xf>
    <xf numFmtId="0" fontId="0" fillId="0" borderId="42" xfId="0" applyFont="1" applyBorder="1" applyAlignment="1">
      <alignment horizontal="distributed" vertical="center" shrinkToFit="1"/>
    </xf>
    <xf numFmtId="38" fontId="0" fillId="37" borderId="47" xfId="49" applyFont="1" applyFill="1" applyBorder="1" applyAlignment="1" applyProtection="1">
      <alignment vertical="center" shrinkToFit="1"/>
      <protection locked="0"/>
    </xf>
    <xf numFmtId="38" fontId="0" fillId="37" borderId="48" xfId="49" applyFont="1" applyFill="1" applyBorder="1" applyAlignment="1" applyProtection="1">
      <alignment vertical="center" shrinkToFit="1"/>
      <protection locked="0"/>
    </xf>
    <xf numFmtId="0" fontId="0" fillId="0" borderId="0" xfId="0" applyFill="1" applyBorder="1" applyAlignment="1">
      <alignment vertical="center" shrinkToFit="1"/>
    </xf>
    <xf numFmtId="0" fontId="0" fillId="0" borderId="15" xfId="0" applyFont="1" applyFill="1" applyBorder="1" applyAlignment="1">
      <alignment horizontal="distributed" vertical="center" shrinkToFit="1"/>
    </xf>
    <xf numFmtId="38" fontId="0" fillId="37" borderId="49" xfId="49" applyFont="1" applyFill="1" applyBorder="1" applyAlignment="1" applyProtection="1">
      <alignment vertical="center" shrinkToFit="1"/>
      <protection locked="0"/>
    </xf>
    <xf numFmtId="38" fontId="0" fillId="0" borderId="16" xfId="49" applyFont="1" applyBorder="1" applyAlignment="1" applyProtection="1">
      <alignment vertical="center" shrinkToFit="1"/>
      <protection/>
    </xf>
    <xf numFmtId="0" fontId="0" fillId="0" borderId="0" xfId="0" applyNumberFormat="1" applyAlignment="1">
      <alignment vertical="center"/>
    </xf>
    <xf numFmtId="38" fontId="0" fillId="0" borderId="16" xfId="49" applyFont="1" applyFill="1" applyBorder="1" applyAlignment="1" applyProtection="1">
      <alignment vertical="center"/>
      <protection/>
    </xf>
    <xf numFmtId="0" fontId="13" fillId="0" borderId="0" xfId="0" applyFont="1" applyFill="1" applyAlignment="1">
      <alignment vertical="center"/>
    </xf>
    <xf numFmtId="0" fontId="0" fillId="0" borderId="0" xfId="0" applyFill="1" applyBorder="1" applyAlignment="1">
      <alignment vertical="center"/>
    </xf>
    <xf numFmtId="0" fontId="0" fillId="0" borderId="16" xfId="0" applyBorder="1" applyAlignment="1">
      <alignment vertical="center" shrinkToFit="1"/>
    </xf>
    <xf numFmtId="0" fontId="2" fillId="0" borderId="0" xfId="0" applyFont="1" applyAlignment="1">
      <alignment vertical="center"/>
    </xf>
    <xf numFmtId="0" fontId="0" fillId="0" borderId="0" xfId="0" applyAlignment="1" applyProtection="1">
      <alignment vertical="center"/>
      <protection locked="0"/>
    </xf>
    <xf numFmtId="180" fontId="0" fillId="0" borderId="0" xfId="49" applyNumberFormat="1" applyFont="1" applyFill="1" applyBorder="1" applyAlignment="1" applyProtection="1">
      <alignment vertical="center"/>
      <protection locked="0"/>
    </xf>
    <xf numFmtId="0" fontId="0" fillId="0" borderId="0" xfId="49" applyNumberFormat="1" applyFont="1" applyFill="1" applyBorder="1" applyAlignment="1" applyProtection="1">
      <alignment vertical="center"/>
      <protection locked="0"/>
    </xf>
    <xf numFmtId="0" fontId="0" fillId="0" borderId="0" xfId="0" applyBorder="1" applyAlignment="1">
      <alignment vertical="center"/>
    </xf>
    <xf numFmtId="0" fontId="14" fillId="0" borderId="0" xfId="0" applyFont="1" applyBorder="1" applyAlignment="1">
      <alignment vertical="center"/>
    </xf>
    <xf numFmtId="182" fontId="0" fillId="0" borderId="27" xfId="49" applyNumberFormat="1" applyFill="1" applyBorder="1" applyAlignment="1" applyProtection="1">
      <alignment vertical="center"/>
      <protection/>
    </xf>
    <xf numFmtId="182" fontId="0" fillId="0" borderId="34" xfId="49" applyNumberFormat="1" applyFont="1" applyFill="1" applyBorder="1" applyAlignment="1" applyProtection="1">
      <alignment vertical="center"/>
      <protection/>
    </xf>
    <xf numFmtId="182" fontId="0" fillId="0" borderId="22" xfId="49" applyNumberFormat="1" applyFont="1" applyFill="1" applyBorder="1" applyAlignment="1" applyProtection="1">
      <alignment vertical="center"/>
      <protection/>
    </xf>
    <xf numFmtId="0" fontId="50" fillId="0" borderId="0" xfId="0" applyFont="1" applyAlignment="1">
      <alignment vertical="center"/>
    </xf>
    <xf numFmtId="38" fontId="0" fillId="0" borderId="0" xfId="49"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29" xfId="0" applyBorder="1" applyAlignment="1">
      <alignment horizontal="distributed" vertical="center"/>
    </xf>
    <xf numFmtId="0" fontId="0" fillId="0" borderId="18" xfId="0" applyBorder="1" applyAlignment="1">
      <alignment horizontal="distributed" vertical="center"/>
    </xf>
    <xf numFmtId="0" fontId="0" fillId="0" borderId="30" xfId="0" applyBorder="1" applyAlignment="1">
      <alignment horizontal="distributed" vertical="center"/>
    </xf>
    <xf numFmtId="0" fontId="8" fillId="0" borderId="29" xfId="0" applyFont="1" applyBorder="1" applyAlignment="1">
      <alignment horizontal="distributed" vertical="center"/>
    </xf>
    <xf numFmtId="0" fontId="8" fillId="0" borderId="18" xfId="0" applyFont="1" applyBorder="1" applyAlignment="1">
      <alignment horizontal="distributed" vertical="center"/>
    </xf>
    <xf numFmtId="0" fontId="0" fillId="0" borderId="29"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30" xfId="0" applyFill="1" applyBorder="1" applyAlignment="1">
      <alignment horizontal="center"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0" fillId="35" borderId="15" xfId="0" applyFont="1" applyFill="1" applyBorder="1" applyAlignment="1">
      <alignment horizontal="center" vertical="center" shrinkToFit="1"/>
    </xf>
    <xf numFmtId="0" fontId="0" fillId="35" borderId="13" xfId="0" applyFont="1" applyFill="1" applyBorder="1" applyAlignment="1">
      <alignment horizontal="center" vertical="center" shrinkToFit="1"/>
    </xf>
    <xf numFmtId="38" fontId="0" fillId="0" borderId="29" xfId="49" applyFont="1" applyFill="1" applyBorder="1" applyAlignment="1">
      <alignment vertical="center" shrinkToFit="1"/>
    </xf>
    <xf numFmtId="38" fontId="0" fillId="0" borderId="18" xfId="49" applyFont="1" applyFill="1" applyBorder="1" applyAlignment="1">
      <alignment vertical="center" shrinkToFit="1"/>
    </xf>
    <xf numFmtId="38" fontId="0" fillId="0" borderId="30" xfId="49" applyFont="1" applyFill="1" applyBorder="1" applyAlignment="1">
      <alignment vertical="center" shrinkToFit="1"/>
    </xf>
    <xf numFmtId="38" fontId="0" fillId="0" borderId="29" xfId="49" applyFont="1" applyFill="1" applyBorder="1" applyAlignment="1">
      <alignment horizontal="distributed" vertical="center" shrinkToFit="1"/>
    </xf>
    <xf numFmtId="38" fontId="0" fillId="0" borderId="18" xfId="49" applyFont="1" applyFill="1" applyBorder="1" applyAlignment="1">
      <alignment horizontal="distributed" vertical="center" shrinkToFit="1"/>
    </xf>
    <xf numFmtId="38" fontId="0" fillId="0" borderId="30" xfId="49" applyFont="1" applyFill="1" applyBorder="1" applyAlignment="1">
      <alignment horizontal="distributed" vertical="center" shrinkToFit="1"/>
    </xf>
    <xf numFmtId="38" fontId="0" fillId="0" borderId="29" xfId="49" applyFont="1" applyFill="1" applyBorder="1" applyAlignment="1">
      <alignment horizontal="distributed" vertical="center"/>
    </xf>
    <xf numFmtId="38" fontId="0" fillId="0" borderId="18" xfId="49" applyFont="1" applyFill="1" applyBorder="1" applyAlignment="1">
      <alignment horizontal="distributed" vertical="center"/>
    </xf>
    <xf numFmtId="38" fontId="0" fillId="0" borderId="30" xfId="49" applyFont="1" applyFill="1" applyBorder="1" applyAlignment="1">
      <alignment horizontal="distributed" vertical="center"/>
    </xf>
    <xf numFmtId="0" fontId="0" fillId="0" borderId="18" xfId="0" applyBorder="1" applyAlignment="1">
      <alignment horizontal="center" vertical="center" shrinkToFit="1"/>
    </xf>
    <xf numFmtId="0" fontId="0" fillId="0" borderId="30" xfId="0" applyBorder="1" applyAlignment="1">
      <alignment horizontal="center" vertical="center" shrinkToFit="1"/>
    </xf>
    <xf numFmtId="38" fontId="12" fillId="0" borderId="29" xfId="49" applyFont="1" applyFill="1" applyBorder="1" applyAlignment="1">
      <alignment horizontal="center" vertical="center"/>
    </xf>
    <xf numFmtId="38" fontId="12" fillId="0" borderId="18" xfId="49" applyFont="1" applyFill="1" applyBorder="1" applyAlignment="1">
      <alignment horizontal="center" vertical="center"/>
    </xf>
    <xf numFmtId="38" fontId="12" fillId="0" borderId="30" xfId="49" applyFont="1" applyFill="1" applyBorder="1" applyAlignment="1">
      <alignment horizontal="center" vertical="center"/>
    </xf>
    <xf numFmtId="0" fontId="0" fillId="0" borderId="29" xfId="0" applyFill="1" applyBorder="1" applyAlignment="1">
      <alignment horizontal="distributed" vertical="center"/>
    </xf>
    <xf numFmtId="0" fontId="5" fillId="0" borderId="29"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30" xfId="0" applyFont="1" applyBorder="1" applyAlignment="1">
      <alignment horizontal="distributed" vertical="center" shrinkToFit="1"/>
    </xf>
    <xf numFmtId="0" fontId="0" fillId="0" borderId="29" xfId="0" applyBorder="1" applyAlignment="1">
      <alignment vertical="center" shrinkToFit="1"/>
    </xf>
    <xf numFmtId="0" fontId="0" fillId="0" borderId="18" xfId="0" applyBorder="1" applyAlignment="1">
      <alignment vertical="center" shrinkToFit="1"/>
    </xf>
    <xf numFmtId="0" fontId="0" fillId="0" borderId="30" xfId="0" applyBorder="1" applyAlignment="1">
      <alignment vertical="center" shrinkToFit="1"/>
    </xf>
    <xf numFmtId="0" fontId="5" fillId="0" borderId="29" xfId="0" applyFont="1" applyFill="1" applyBorder="1" applyAlignment="1">
      <alignment horizontal="distributed" vertical="center"/>
    </xf>
    <xf numFmtId="0" fontId="5" fillId="0" borderId="30" xfId="0" applyFont="1" applyFill="1" applyBorder="1" applyAlignment="1">
      <alignment horizontal="distributed" vertical="center"/>
    </xf>
    <xf numFmtId="0" fontId="0" fillId="0" borderId="30" xfId="0" applyFill="1" applyBorder="1" applyAlignment="1">
      <alignment horizontal="distributed" vertical="center"/>
    </xf>
    <xf numFmtId="0" fontId="8" fillId="0" borderId="29" xfId="0" applyFont="1" applyFill="1" applyBorder="1" applyAlignment="1">
      <alignment horizontal="distributed" vertical="center"/>
    </xf>
    <xf numFmtId="0" fontId="8" fillId="0" borderId="30" xfId="0" applyFont="1" applyBorder="1" applyAlignment="1">
      <alignment horizontal="distributed" vertical="center"/>
    </xf>
    <xf numFmtId="0" fontId="0" fillId="0" borderId="29" xfId="0" applyBorder="1" applyAlignment="1">
      <alignment horizontal="distributed" vertical="center" shrinkToFit="1"/>
    </xf>
    <xf numFmtId="0" fontId="0" fillId="0" borderId="18" xfId="0" applyBorder="1" applyAlignment="1">
      <alignment vertical="center"/>
    </xf>
    <xf numFmtId="0" fontId="0" fillId="0" borderId="3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i-ho.ne.jp/s-okuno/down/down.html" TargetMode="External" /><Relationship Id="rId2" Type="http://schemas.openxmlformats.org/officeDocument/2006/relationships/hyperlink" Target="mailto:s-okuno@hi-ho.ne.jp" TargetMode="External" /></Relationships>
</file>

<file path=xl/worksheets/sheet1.xml><?xml version="1.0" encoding="utf-8"?>
<worksheet xmlns="http://schemas.openxmlformats.org/spreadsheetml/2006/main" xmlns:r="http://schemas.openxmlformats.org/officeDocument/2006/relationships">
  <sheetPr>
    <tabColor indexed="41"/>
  </sheetPr>
  <dimension ref="A1:U139"/>
  <sheetViews>
    <sheetView tabSelected="1" zoomScaleSheetLayoutView="100" zoomScalePageLayoutView="0" workbookViewId="0" topLeftCell="A1">
      <selection activeCell="A1" sqref="A1"/>
    </sheetView>
  </sheetViews>
  <sheetFormatPr defaultColWidth="8.796875" defaultRowHeight="14.25"/>
  <cols>
    <col min="1" max="1" width="2.59765625" style="0" customWidth="1"/>
    <col min="2" max="2" width="21.59765625" style="0" customWidth="1"/>
    <col min="3" max="6" width="12.59765625" style="0" customWidth="1"/>
    <col min="7" max="7" width="10.59765625" style="0" customWidth="1"/>
    <col min="8" max="8" width="20.59765625" style="0" customWidth="1"/>
    <col min="9" max="11" width="10.59765625" style="0" customWidth="1"/>
    <col min="12" max="13" width="6.59765625" style="0" customWidth="1"/>
    <col min="14" max="14" width="8.59765625" style="0" customWidth="1"/>
    <col min="15" max="15" width="10.59765625" style="0" customWidth="1"/>
    <col min="151" max="151" width="23.8984375" style="0" customWidth="1"/>
  </cols>
  <sheetData>
    <row r="1" spans="1:11" ht="13.5">
      <c r="A1" s="16"/>
      <c r="B1" s="17" t="s">
        <v>260</v>
      </c>
      <c r="C1" s="17"/>
      <c r="D1" s="17"/>
      <c r="E1" s="17"/>
      <c r="F1" s="17"/>
      <c r="G1" s="17"/>
      <c r="H1" s="17" t="s">
        <v>89</v>
      </c>
      <c r="I1" s="17"/>
      <c r="J1" s="18" t="s">
        <v>57</v>
      </c>
      <c r="K1" s="18" t="s">
        <v>58</v>
      </c>
    </row>
    <row r="2" spans="1:11" ht="13.5">
      <c r="A2" s="17"/>
      <c r="B2" s="17"/>
      <c r="C2" s="16" t="s">
        <v>233</v>
      </c>
      <c r="D2" s="16" t="s">
        <v>261</v>
      </c>
      <c r="E2" s="17"/>
      <c r="F2" s="17"/>
      <c r="G2" s="17"/>
      <c r="H2" s="18" t="s">
        <v>91</v>
      </c>
      <c r="I2" s="68">
        <v>0</v>
      </c>
      <c r="J2" s="47" t="s">
        <v>93</v>
      </c>
      <c r="K2" s="47" t="s">
        <v>93</v>
      </c>
    </row>
    <row r="3" spans="1:13" ht="14.25" thickBot="1">
      <c r="A3" s="17"/>
      <c r="B3" s="54" t="s">
        <v>87</v>
      </c>
      <c r="C3" s="16" t="s">
        <v>44</v>
      </c>
      <c r="D3" s="16" t="s">
        <v>48</v>
      </c>
      <c r="E3" s="17"/>
      <c r="F3" s="17"/>
      <c r="G3" s="17"/>
      <c r="H3" s="18" t="s">
        <v>90</v>
      </c>
      <c r="I3" s="68">
        <v>0</v>
      </c>
      <c r="J3" s="47" t="s">
        <v>64</v>
      </c>
      <c r="K3" s="47" t="s">
        <v>64</v>
      </c>
      <c r="M3" s="172"/>
    </row>
    <row r="4" spans="1:11" ht="14.25" thickBot="1">
      <c r="A4" s="127"/>
      <c r="B4" s="13" t="s">
        <v>42</v>
      </c>
      <c r="C4" s="14" t="s">
        <v>31</v>
      </c>
      <c r="D4" s="13" t="s">
        <v>31</v>
      </c>
      <c r="E4" s="17"/>
      <c r="G4" s="179"/>
      <c r="H4" s="180" t="s">
        <v>92</v>
      </c>
      <c r="I4" s="68">
        <v>0</v>
      </c>
      <c r="J4" s="48">
        <f>IF(I2-I4&lt;=0,0,IF(C12+F10&lt;0,I2-I4,IF(AND(I3&lt;=50000,(I2-I4)-INT((C12+F10)*0.1)&lt;=0),0,IF((I2-I4)-INT((C12+F10)*0.1)&lt;=I3-50000,I3-50000,(I2-I4)-INT((C12+F10)*0.1)))))</f>
        <v>0</v>
      </c>
      <c r="K4" s="48">
        <f>IF(I2-I4&lt;=0,0,IF(D12+F11&lt;0,I2-I4,IF(AND(I3&lt;=50000,(I2-I4)-INT((D12+F11)*0.1)&lt;=0),0,IF((I2-I4)-INT((D12+F11)*0.1)&lt;=I3-50000,I3-50000,(I2-I4)-INT((D12+F11)*0.1)))))</f>
        <v>0</v>
      </c>
    </row>
    <row r="5" spans="1:7" ht="13.5">
      <c r="A5" s="135" t="s">
        <v>222</v>
      </c>
      <c r="B5" s="21" t="s">
        <v>3</v>
      </c>
      <c r="C5" s="145">
        <v>0</v>
      </c>
      <c r="D5" s="146">
        <f>IF(C5&gt;K48,C5-K48,IF(C5+K52-K48&lt;0,C5+K52-K48,0))</f>
        <v>0</v>
      </c>
      <c r="E5" s="17"/>
      <c r="G5" s="179"/>
    </row>
    <row r="6" spans="1:11" ht="13.5" customHeight="1">
      <c r="A6" s="7"/>
      <c r="B6" s="22" t="s">
        <v>2</v>
      </c>
      <c r="C6" s="138">
        <v>0</v>
      </c>
      <c r="D6" s="79">
        <f>IF(C6&gt;K49,C6-K49,IF(C6+K53-K49&lt;0,C6+K53-K49,0))</f>
        <v>0</v>
      </c>
      <c r="E6" s="17"/>
      <c r="F6" s="17"/>
      <c r="G6" s="17"/>
      <c r="H6" s="17" t="s">
        <v>94</v>
      </c>
      <c r="I6" s="17"/>
      <c r="J6" s="18" t="s">
        <v>57</v>
      </c>
      <c r="K6" s="18" t="s">
        <v>58</v>
      </c>
    </row>
    <row r="7" spans="1:11" ht="13.5">
      <c r="A7" s="135" t="s">
        <v>38</v>
      </c>
      <c r="B7" s="22" t="s">
        <v>0</v>
      </c>
      <c r="C7" s="138">
        <v>0</v>
      </c>
      <c r="D7" s="79">
        <f>C7</f>
        <v>0</v>
      </c>
      <c r="E7" s="17"/>
      <c r="F7" s="17"/>
      <c r="G7" s="17"/>
      <c r="H7" s="18" t="s">
        <v>95</v>
      </c>
      <c r="I7" s="68">
        <v>0</v>
      </c>
      <c r="J7" s="47" t="s">
        <v>93</v>
      </c>
      <c r="K7" s="47" t="s">
        <v>93</v>
      </c>
    </row>
    <row r="8" spans="1:11" ht="14.25" thickBot="1">
      <c r="A8" s="7"/>
      <c r="B8" s="22" t="s">
        <v>1</v>
      </c>
      <c r="C8" s="138">
        <v>0</v>
      </c>
      <c r="D8" s="79">
        <f>C8+K62</f>
        <v>0</v>
      </c>
      <c r="E8" s="17"/>
      <c r="F8" s="17"/>
      <c r="G8" s="17"/>
      <c r="H8" s="18" t="s">
        <v>96</v>
      </c>
      <c r="I8" s="68">
        <v>0</v>
      </c>
      <c r="J8" s="48">
        <f>IF(I7-I8&lt;=0,0,IF(AND(C12+F10&lt;=0,I7-I8&lt;2000000),I7-I8,IF(AND(INT((C12+F10)*0.05)&lt;100000,INT((C12+F10)*0.05)&gt;I7-I8),0,IF(AND(INT((C12+F10)*0.05)&gt;100000,100000&gt;I7-I8),0,IF(AND(INT((C12+F10)*0.05)&lt;100000,INT((C12+F10)*0.05)+2000000&gt;I7-I8-INT((C12+F10)*0.05)),I7-I8-INT((C12+F10)*0.05),IF(AND(INT((C12+F10)*0.05)&gt;100000,2100000&gt;I7-I8),I7-I8-100000,2000000))))))</f>
        <v>0</v>
      </c>
      <c r="K8" s="47">
        <f>IF(I7-I8&lt;=0,0,IF(AND(D12+F11&lt;=0,I7-I8&lt;2000000),I7-I8,IF(AND(INT((D12+F11)*0.05)&lt;100000,INT((D12+F11)*0.05)&gt;I7-I8),0,IF(AND(INT((D12+F11)*0.05)&gt;100000,100000&gt;I7-I8),0,IF(AND(INT((D12+F11)*0.05)&lt;100000,INT((D12+F11)*0.05)+2000000&gt;I7-I8-INT((D12+F11)*0.05)),I7-I8-INT((D12+F11)*0.05),IF(AND(INT((D12+F11)*0.05)&gt;100000,2100000&gt;I7-I8),I7-I8-100000,2000000))))))</f>
        <v>0</v>
      </c>
    </row>
    <row r="9" spans="1:7" ht="14.25" thickBot="1">
      <c r="A9" s="135" t="s">
        <v>34</v>
      </c>
      <c r="B9" s="22" t="s">
        <v>4</v>
      </c>
      <c r="C9" s="138">
        <v>0</v>
      </c>
      <c r="D9" s="79">
        <f>C9</f>
        <v>0</v>
      </c>
      <c r="E9" s="204" t="s">
        <v>229</v>
      </c>
      <c r="F9" s="205"/>
      <c r="G9" s="17"/>
    </row>
    <row r="10" spans="1:14" ht="13.5">
      <c r="A10" s="7"/>
      <c r="B10" s="22" t="s">
        <v>43</v>
      </c>
      <c r="C10" s="138">
        <v>0</v>
      </c>
      <c r="D10" s="79">
        <f>C10</f>
        <v>0</v>
      </c>
      <c r="E10" s="168" t="s">
        <v>230</v>
      </c>
      <c r="F10" s="170">
        <v>0</v>
      </c>
      <c r="G10" s="17"/>
      <c r="H10" s="17" t="s">
        <v>55</v>
      </c>
      <c r="I10" s="17"/>
      <c r="J10" s="18" t="s">
        <v>57</v>
      </c>
      <c r="K10" s="18" t="s">
        <v>58</v>
      </c>
      <c r="N10" s="190" t="s">
        <v>263</v>
      </c>
    </row>
    <row r="11" spans="1:14" ht="13.5" customHeight="1" thickBot="1">
      <c r="A11" s="135" t="s">
        <v>39</v>
      </c>
      <c r="B11" s="88" t="s">
        <v>30</v>
      </c>
      <c r="C11" s="147">
        <v>0</v>
      </c>
      <c r="D11" s="148">
        <f>C11</f>
        <v>0</v>
      </c>
      <c r="E11" s="169" t="s">
        <v>231</v>
      </c>
      <c r="F11" s="171">
        <v>0</v>
      </c>
      <c r="G11" s="17"/>
      <c r="H11" s="19" t="s">
        <v>52</v>
      </c>
      <c r="I11" s="68">
        <v>0</v>
      </c>
      <c r="J11" s="20">
        <f>ROUNDUP(IF(I11&lt;=25000,I11,IF(I11&lt;=50000,I11/2+12500,IF(I11&lt;=100000,I11/4+25000,50000))),0)</f>
        <v>0</v>
      </c>
      <c r="K11" s="20">
        <f>ROUNDUP(IF(I11&lt;=15000,I11,IF(I11&lt;=40000,I11/2+7500,IF(I11&lt;=70000,I11/4+17500,35000))),0)</f>
        <v>0</v>
      </c>
      <c r="N11" t="s">
        <v>281</v>
      </c>
    </row>
    <row r="12" spans="1:14" ht="14.25" thickBot="1">
      <c r="A12" s="8"/>
      <c r="B12" s="126" t="s">
        <v>29</v>
      </c>
      <c r="C12" s="167">
        <f>IF(AND(C8&lt;0,C10&lt;0),C5+C6+C7+C9+C11-F10,IF(C8&lt;0,C5+C6+C7+C9+C10+C11-F10,IF(C10&lt;0,C5+C6+C7+C8+C9+C11-F10,SUM(C5:C11)-F10)))</f>
        <v>0</v>
      </c>
      <c r="D12" s="167">
        <f>IF(AND(D8&lt;0,D10&lt;0),D5+D6+D7+D9+D11-F11,IF(D8&lt;0,D5+D6+D7+D9+D10+D11-F11,IF(D10&lt;0,D5+D6+D7+D8+D9+D11-F11,SUM(D5:D11)-F11)))</f>
        <v>0</v>
      </c>
      <c r="E12" s="17"/>
      <c r="F12" s="17"/>
      <c r="G12" s="17"/>
      <c r="H12" s="19" t="s">
        <v>53</v>
      </c>
      <c r="I12" s="68">
        <v>0</v>
      </c>
      <c r="J12" s="20">
        <f>ROUNDUP(IF(I12&lt;=25000,I12,IF(I12&lt;=50000,I12/2+12500,IF(I12&lt;=100000,I12/4+25000,50000))),0)</f>
        <v>0</v>
      </c>
      <c r="K12" s="20">
        <f>IF(I12&lt;=15000,I12,IF(I12&lt;=40000,I12/2+7500,IF(I12&lt;=70000,I12/4+17500,35000)))</f>
        <v>0</v>
      </c>
      <c r="N12" t="s">
        <v>282</v>
      </c>
    </row>
    <row r="13" spans="1:14" ht="13.5">
      <c r="A13" s="64"/>
      <c r="B13" s="21" t="s">
        <v>5</v>
      </c>
      <c r="C13" s="187">
        <f>J4</f>
        <v>0</v>
      </c>
      <c r="D13" s="188">
        <f>K4</f>
        <v>0</v>
      </c>
      <c r="E13" s="17"/>
      <c r="F13" s="17"/>
      <c r="G13" s="17"/>
      <c r="H13" s="17"/>
      <c r="I13" s="17"/>
      <c r="J13" s="17"/>
      <c r="K13" s="17"/>
      <c r="N13" t="s">
        <v>264</v>
      </c>
    </row>
    <row r="14" spans="1:14" ht="13.5">
      <c r="A14" s="65"/>
      <c r="B14" s="22" t="s">
        <v>6</v>
      </c>
      <c r="C14" s="139">
        <f>J8</f>
        <v>0</v>
      </c>
      <c r="D14" s="78">
        <f>K8</f>
        <v>0</v>
      </c>
      <c r="E14" s="17"/>
      <c r="F14" s="17"/>
      <c r="G14" s="17"/>
      <c r="H14" s="17" t="s">
        <v>110</v>
      </c>
      <c r="I14" s="17"/>
      <c r="J14" s="18" t="s">
        <v>57</v>
      </c>
      <c r="K14" s="18" t="s">
        <v>58</v>
      </c>
      <c r="N14" t="s">
        <v>267</v>
      </c>
    </row>
    <row r="15" spans="1:21" ht="13.5">
      <c r="A15" s="64"/>
      <c r="B15" s="22" t="s">
        <v>7</v>
      </c>
      <c r="C15" s="138">
        <v>0</v>
      </c>
      <c r="D15" s="78">
        <f>C15</f>
        <v>0</v>
      </c>
      <c r="E15" s="17"/>
      <c r="F15" s="17"/>
      <c r="G15" s="17"/>
      <c r="H15" s="19" t="s">
        <v>109</v>
      </c>
      <c r="I15" s="69">
        <v>0</v>
      </c>
      <c r="J15" s="20">
        <f>ROUNDUP(IF(I15+I16+I18+I19&lt;0,0,IF(I15+I18&gt;=50000,50000,IF(I15+I18+IF(I16&lt;10000,I16,IF(I16&lt;=20000,I16/2+5000,15000))&gt;=50000,50000,IF(I15+I18+IF(I16&lt;10000,I16,IF(I16&lt;=20000,I16/2+5000,15000))&gt;I15+IF(I16+I19&lt;10000,I16+I19,IF(I16+I19&lt;=20000,(I16+I19)/2+5000,15000)),I15+I18+IF(I16&lt;10000,I16,IF(I16&lt;=20000,I16/2+5000,15000)),I15+IF(I16+I19&lt;10000,I16+I19,IF(I16+I19&lt;=20000,(I16+I19)/2+5000,15000)))))),0)</f>
        <v>0</v>
      </c>
      <c r="K15" s="20">
        <f>ROUNDUP(IF(I15+I16+I18+I19&lt;0,0,IF(I15+I18&gt;=50000,25000,IF((I15+I18)/2+IF(I16&lt;5000,I16,IF(I16&lt;=15000,I16/2+2500,10000))&gt;=25000,25000,IF((I15+I18)/2+IF(I16&lt;5000,I16,IF(I16&lt;=15000,I16/2+2500,10000))&gt;I15/2+IF(I16+I19&lt;5000,I16+I19,IF(I16+I19&lt;=15000,(I16+I19)/2+2500,10000)),(I15+I18)/2+IF(I16&lt;5000,I16,IF(I16&lt;=15000,I16/2+2500,10000)),I15/2+IF(I16+I19&lt;5000,I16+I19,IF(I16+I19&lt;=15000,(I16+I19)/2+2500,10000)))))),0)</f>
        <v>0</v>
      </c>
      <c r="N15" t="s">
        <v>269</v>
      </c>
      <c r="S15" s="192" t="s">
        <v>270</v>
      </c>
      <c r="T15" s="193" t="s">
        <v>36</v>
      </c>
      <c r="U15" s="191" t="s">
        <v>266</v>
      </c>
    </row>
    <row r="16" spans="1:14" ht="13.5" customHeight="1">
      <c r="A16" s="66" t="s">
        <v>32</v>
      </c>
      <c r="B16" s="137" t="s">
        <v>8</v>
      </c>
      <c r="C16" s="138">
        <v>0</v>
      </c>
      <c r="D16" s="78">
        <f>C16</f>
        <v>0</v>
      </c>
      <c r="E16" s="17"/>
      <c r="F16" s="17"/>
      <c r="G16" s="17"/>
      <c r="H16" s="19" t="s">
        <v>227</v>
      </c>
      <c r="I16" s="69">
        <v>0</v>
      </c>
      <c r="J16" s="56" t="s">
        <v>111</v>
      </c>
      <c r="N16" t="s">
        <v>268</v>
      </c>
    </row>
    <row r="17" spans="1:21" ht="13.5">
      <c r="A17" s="65"/>
      <c r="B17" s="22" t="s">
        <v>9</v>
      </c>
      <c r="C17" s="139">
        <f>J11+J12</f>
        <v>0</v>
      </c>
      <c r="D17" s="78">
        <f>K11+K12</f>
        <v>0</v>
      </c>
      <c r="E17" s="17"/>
      <c r="F17" s="17"/>
      <c r="G17" s="17"/>
      <c r="H17" s="134" t="s">
        <v>228</v>
      </c>
      <c r="I17" s="133"/>
      <c r="J17" s="56" t="s">
        <v>112</v>
      </c>
      <c r="L17" s="56"/>
      <c r="N17" t="s">
        <v>271</v>
      </c>
      <c r="S17" s="192" t="s">
        <v>272</v>
      </c>
      <c r="T17" s="193" t="s">
        <v>36</v>
      </c>
      <c r="U17" s="191" t="s">
        <v>265</v>
      </c>
    </row>
    <row r="18" spans="1:15" ht="13.5">
      <c r="A18" s="64"/>
      <c r="B18" s="22" t="s">
        <v>132</v>
      </c>
      <c r="C18" s="139">
        <f>J15</f>
        <v>0</v>
      </c>
      <c r="D18" s="78">
        <f>K15</f>
        <v>0</v>
      </c>
      <c r="E18" s="17"/>
      <c r="F18" s="17"/>
      <c r="G18" s="17"/>
      <c r="H18" s="19" t="s">
        <v>109</v>
      </c>
      <c r="I18" s="69">
        <v>0</v>
      </c>
      <c r="L18" s="56"/>
      <c r="N18" t="s">
        <v>273</v>
      </c>
      <c r="O18" s="191"/>
    </row>
    <row r="19" spans="1:14" ht="13.5">
      <c r="A19" s="66" t="s">
        <v>38</v>
      </c>
      <c r="B19" s="22" t="s">
        <v>10</v>
      </c>
      <c r="C19" s="139">
        <f>J22</f>
        <v>0</v>
      </c>
      <c r="D19" s="140" t="s">
        <v>50</v>
      </c>
      <c r="E19" s="17"/>
      <c r="F19" s="17"/>
      <c r="G19" s="17"/>
      <c r="H19" s="19" t="s">
        <v>227</v>
      </c>
      <c r="I19" s="69">
        <v>0</v>
      </c>
      <c r="L19" s="56"/>
      <c r="N19" t="s">
        <v>278</v>
      </c>
    </row>
    <row r="20" spans="1:19" ht="13.5">
      <c r="A20" s="64"/>
      <c r="B20" s="22" t="s">
        <v>11</v>
      </c>
      <c r="C20" s="138">
        <v>0</v>
      </c>
      <c r="D20" s="141">
        <f>IF(C20=0,0,IF(C20=270000,260000,IF(C20=350000,300000,"Error？")))</f>
        <v>0</v>
      </c>
      <c r="E20" s="17"/>
      <c r="F20" s="17"/>
      <c r="G20" s="17"/>
      <c r="I20" s="17"/>
      <c r="J20" s="17"/>
      <c r="K20" s="17"/>
      <c r="N20" t="s">
        <v>275</v>
      </c>
      <c r="O20" s="191"/>
      <c r="R20" s="192"/>
      <c r="S20" s="192" t="s">
        <v>276</v>
      </c>
    </row>
    <row r="21" spans="1:14" ht="13.5">
      <c r="A21" s="64"/>
      <c r="B21" s="22" t="s">
        <v>12</v>
      </c>
      <c r="C21" s="138">
        <v>0</v>
      </c>
      <c r="D21" s="141">
        <f>IF(C21=0,0,IF(C21=270000,260000,"Error？"))</f>
        <v>0</v>
      </c>
      <c r="E21" s="17"/>
      <c r="F21" s="17"/>
      <c r="G21" s="17"/>
      <c r="H21" s="17" t="s">
        <v>56</v>
      </c>
      <c r="J21" s="18" t="s">
        <v>57</v>
      </c>
      <c r="K21" s="18" t="s">
        <v>58</v>
      </c>
      <c r="L21" s="17"/>
      <c r="N21" t="s">
        <v>277</v>
      </c>
    </row>
    <row r="22" spans="1:14" ht="13.5">
      <c r="A22" s="66" t="s">
        <v>40</v>
      </c>
      <c r="B22" s="22" t="s">
        <v>13</v>
      </c>
      <c r="C22" s="138">
        <v>0</v>
      </c>
      <c r="D22" s="141">
        <f>IF(C22=0,0,IF(C22=260000,270000,"Error？"))</f>
        <v>0</v>
      </c>
      <c r="E22" s="17"/>
      <c r="F22" s="17"/>
      <c r="G22" s="17"/>
      <c r="H22" s="19" t="s">
        <v>68</v>
      </c>
      <c r="I22" s="69">
        <v>0</v>
      </c>
      <c r="J22" s="20">
        <f>IF(I22&lt;=2000,0,IF(C12&lt;=0,0,IF(I22&lt;=C12*0.4,I22-2000,ROUNDUP((C12*0.4),0)-2000)))</f>
        <v>0</v>
      </c>
      <c r="K22" s="23" t="s">
        <v>50</v>
      </c>
      <c r="L22" s="17"/>
      <c r="N22" t="s">
        <v>279</v>
      </c>
    </row>
    <row r="23" spans="1:14" ht="13.5">
      <c r="A23" s="64"/>
      <c r="B23" s="22" t="s">
        <v>14</v>
      </c>
      <c r="C23" s="139">
        <f>400000*(I33+I43)+J34+J35+J44+J45+J56+J57</f>
        <v>0</v>
      </c>
      <c r="D23" s="139">
        <f>300000*(I33+I43)+K34+K35+K44+K45+K56+K57</f>
        <v>0</v>
      </c>
      <c r="E23" s="17"/>
      <c r="F23" s="17"/>
      <c r="G23" s="17"/>
      <c r="H23" s="18" t="s">
        <v>155</v>
      </c>
      <c r="I23" s="69">
        <v>0</v>
      </c>
      <c r="J23" s="23" t="s">
        <v>50</v>
      </c>
      <c r="K23" s="23" t="s">
        <v>50</v>
      </c>
      <c r="L23" s="17"/>
      <c r="N23" t="s">
        <v>274</v>
      </c>
    </row>
    <row r="24" spans="1:19" ht="13.5">
      <c r="A24" s="64"/>
      <c r="B24" s="22" t="s">
        <v>15</v>
      </c>
      <c r="C24" s="139">
        <f>J31+J32+350000*I33</f>
        <v>0</v>
      </c>
      <c r="D24" s="139">
        <f>K31+K32+230000*I33</f>
        <v>0</v>
      </c>
      <c r="E24" s="17"/>
      <c r="F24" s="17"/>
      <c r="G24" s="17"/>
      <c r="H24" s="18" t="s">
        <v>151</v>
      </c>
      <c r="I24" s="69">
        <v>0</v>
      </c>
      <c r="J24" s="23" t="s">
        <v>50</v>
      </c>
      <c r="K24" s="23" t="s">
        <v>50</v>
      </c>
      <c r="L24" s="17"/>
      <c r="N24" t="s">
        <v>271</v>
      </c>
      <c r="O24" s="191"/>
      <c r="R24" s="192"/>
      <c r="S24" s="192" t="s">
        <v>272</v>
      </c>
    </row>
    <row r="25" spans="1:14" ht="13.5">
      <c r="A25" s="66" t="s">
        <v>41</v>
      </c>
      <c r="B25" s="22" t="s">
        <v>16</v>
      </c>
      <c r="C25" s="138">
        <v>0</v>
      </c>
      <c r="D25" s="189">
        <f>IF(C25=0,0,IF(C25=380000,330000,IF(C25=360000,330000,C25)))</f>
        <v>0</v>
      </c>
      <c r="E25" s="17"/>
      <c r="F25" s="17"/>
      <c r="G25" s="17"/>
      <c r="H25" s="18" t="s">
        <v>152</v>
      </c>
      <c r="I25" s="84"/>
      <c r="J25" s="83"/>
      <c r="K25" s="85"/>
      <c r="L25" s="17"/>
      <c r="N25" t="s">
        <v>280</v>
      </c>
    </row>
    <row r="26" spans="1:14" ht="13.5">
      <c r="A26" s="65"/>
      <c r="B26" s="22" t="s">
        <v>17</v>
      </c>
      <c r="C26" s="139">
        <f>J39+J40+J41+J42+350000*I43</f>
        <v>0</v>
      </c>
      <c r="D26" s="139">
        <f>K39+K40+K41+K42+230000*I43</f>
        <v>0</v>
      </c>
      <c r="E26" s="17"/>
      <c r="F26" s="17"/>
      <c r="G26" s="17"/>
      <c r="H26" s="18" t="s">
        <v>153</v>
      </c>
      <c r="I26" s="69">
        <v>0</v>
      </c>
      <c r="J26" s="23" t="s">
        <v>50</v>
      </c>
      <c r="K26" s="23" t="s">
        <v>50</v>
      </c>
      <c r="L26" s="17"/>
      <c r="N26" t="s">
        <v>284</v>
      </c>
    </row>
    <row r="27" spans="1:14" ht="14.25" thickBot="1">
      <c r="A27" s="64"/>
      <c r="B27" s="26" t="s">
        <v>18</v>
      </c>
      <c r="C27" s="163">
        <v>380000</v>
      </c>
      <c r="D27" s="142">
        <v>330000</v>
      </c>
      <c r="E27" s="17"/>
      <c r="F27" s="17"/>
      <c r="G27" s="17"/>
      <c r="H27" s="18" t="s">
        <v>154</v>
      </c>
      <c r="I27" s="69">
        <v>0</v>
      </c>
      <c r="J27" s="23" t="s">
        <v>50</v>
      </c>
      <c r="K27" s="23" t="s">
        <v>50</v>
      </c>
      <c r="L27" s="17"/>
      <c r="N27" t="s">
        <v>283</v>
      </c>
    </row>
    <row r="28" spans="1:12" ht="14.25" thickBot="1">
      <c r="A28" s="67"/>
      <c r="B28" s="74" t="s">
        <v>29</v>
      </c>
      <c r="C28" s="143">
        <f>SUM(C13:C27)</f>
        <v>380000</v>
      </c>
      <c r="D28" s="143">
        <f>SUM(D13:D27)</f>
        <v>330000</v>
      </c>
      <c r="E28" s="17"/>
      <c r="F28" s="17"/>
      <c r="G28" s="17"/>
      <c r="H28" s="17"/>
      <c r="I28" s="17"/>
      <c r="J28" s="17"/>
      <c r="K28" s="17"/>
      <c r="L28" s="17"/>
    </row>
    <row r="29" spans="1:15" ht="13.5" customHeight="1" thickBot="1">
      <c r="A29" s="55"/>
      <c r="B29" s="15" t="s">
        <v>88</v>
      </c>
      <c r="C29" s="14" t="s">
        <v>49</v>
      </c>
      <c r="D29" s="12" t="s">
        <v>82</v>
      </c>
      <c r="E29" s="14" t="s">
        <v>83</v>
      </c>
      <c r="F29" s="13" t="s">
        <v>86</v>
      </c>
      <c r="G29" s="17"/>
      <c r="H29" s="17" t="s">
        <v>59</v>
      </c>
      <c r="I29" s="17"/>
      <c r="J29" s="17"/>
      <c r="K29" s="17"/>
      <c r="L29" s="199" t="s">
        <v>101</v>
      </c>
      <c r="M29" s="215"/>
      <c r="N29" s="216"/>
      <c r="O29" s="80" t="s">
        <v>138</v>
      </c>
    </row>
    <row r="30" spans="1:15" ht="13.5">
      <c r="A30" s="9"/>
      <c r="B30" s="28" t="s">
        <v>19</v>
      </c>
      <c r="C30" s="149">
        <f>IF(C12-C28&lt;=0,0,ROUNDDOWN(C12-C28,-3))</f>
        <v>0</v>
      </c>
      <c r="D30" s="150">
        <f>IF(D12-D28&lt;=0,0,ROUNDDOWN(D12-D28,-3))</f>
        <v>0</v>
      </c>
      <c r="E30" s="149">
        <f>IF(D12-D28&lt;=0,0,ROUNDDOWN(D12-D28,-3))</f>
        <v>0</v>
      </c>
      <c r="F30" s="151" t="s">
        <v>50</v>
      </c>
      <c r="G30" s="17"/>
      <c r="I30" s="53" t="s">
        <v>97</v>
      </c>
      <c r="J30" s="18" t="s">
        <v>57</v>
      </c>
      <c r="K30" s="18" t="s">
        <v>58</v>
      </c>
      <c r="L30" s="53" t="s">
        <v>256</v>
      </c>
      <c r="M30" s="49" t="s">
        <v>98</v>
      </c>
      <c r="N30" s="52" t="s">
        <v>100</v>
      </c>
      <c r="O30" s="81" t="s">
        <v>139</v>
      </c>
    </row>
    <row r="31" spans="1:15" ht="13.5">
      <c r="A31" s="131" t="s">
        <v>33</v>
      </c>
      <c r="B31" s="30" t="s">
        <v>20</v>
      </c>
      <c r="C31" s="78">
        <f>IF(C30&lt;=1950000,C30*0.05,IF(C30&lt;=3300000,C30*0.1-97500,IF(C30&lt;=6950000,C30*0.2-427500,IF(C30&lt;=9000000,C30*0.23-636000,IF(C30&lt;=18000000,C30*0.33-1536000,C30*0.4-2796000)))))</f>
        <v>0</v>
      </c>
      <c r="D31" s="152">
        <f>D30*0.04</f>
        <v>0</v>
      </c>
      <c r="E31" s="78">
        <f>E30*0.06</f>
        <v>0</v>
      </c>
      <c r="F31" s="79">
        <f>D31+E31</f>
        <v>0</v>
      </c>
      <c r="G31" s="17"/>
      <c r="H31" s="19" t="s">
        <v>60</v>
      </c>
      <c r="I31" s="70">
        <v>0</v>
      </c>
      <c r="J31" s="24">
        <f>480000*I31</f>
        <v>0</v>
      </c>
      <c r="K31" s="25">
        <f>380000*(I31-L31)</f>
        <v>0</v>
      </c>
      <c r="L31" s="70">
        <v>0</v>
      </c>
      <c r="M31" s="71">
        <v>0</v>
      </c>
      <c r="N31" s="72" t="s">
        <v>3</v>
      </c>
      <c r="O31" s="48">
        <f>100000*(I31-L31)</f>
        <v>0</v>
      </c>
    </row>
    <row r="32" spans="1:15" ht="13.5">
      <c r="A32" s="9"/>
      <c r="B32" s="30" t="s">
        <v>21</v>
      </c>
      <c r="C32" s="141">
        <f>ROUNDUP(IF(K66-IF(C30-K67-K68-10000000&lt;=0,0,C30-K67-K68-10000000)&lt;=0,K66*0.05,(K66-IF(C30-K67-K68-10000000&lt;=0,0,C30-K67-K68-10000000))*0.1+(K66-(K66-IF(C30-K67-K68-10000000&lt;=0,0,C30-K67-K68-10000000)))*0.05)+IF(K67-IF(C30-K68-10000000&lt;=0,0,C30-K68-10000000)&lt;=0,K67*0.025,(K67-IF(C30-K68-10000000&lt;=0,0,C30-K68-10000000))*0.05+(K67-(K67-IF(C30-K68-10000000&lt;=0,0,C30-K68-10000000)))*0.025)+IF(K68-IF(C30-10000000&lt;=0,0,C30-10000000)&lt;=0,K68*0.0125,(K68-IF(C30-10000000&lt;=0,0,C30-10000000))*0.025+(K68-(K68-IF(C30-10000000&lt;=0,0,C30-10000000)))*0.0125),0)</f>
        <v>0</v>
      </c>
      <c r="D32" s="153">
        <f>ROUNDUP(IF((K66+K62)-IF(D30-K67-K68-10000000&lt;=0,0,D30-K67-K68-10000000)&lt;=0,(K66+K62)*0.006,((K66+K62)-IF(D30-K67-K68-10000000&lt;=0,0,D30-K67-K68-10000000))*0.012+((K66+K62)-((K66+K62)-IF(D30-K67-K68-10000000&lt;=0,0,D30-K67-K68-10000000)))*0.006)+IF(K67-IF(D30-K68-10000000&lt;=0,0,D30-K68-10000000)&lt;=0,K67*0.003,(K67-IF(D30-K68-10000000&lt;=0,0,D30-K68-10000000))*0.006+(K67-(K67-IF(D30-K68-10000000&lt;=0,0,D30-K68-10000000)))*0.003)+IF(K68-IF(D30-10000000&lt;=0,0,D30-10000000)&lt;=0,K68*0.0015,(K68-IF(D30-10000000&lt;=0,0,D30-10000000))*0.003+(K68-(K68-IF(D30-10000000&lt;=0,0,D30-10000000)))*0.0015),0)</f>
        <v>0</v>
      </c>
      <c r="E32" s="141">
        <f>ROUNDUP(IF((K66+K62)-IF(D30-K67-K68-10000000&lt;=0,0,D30-K67-K68-10000000)&lt;=0,(K66+K62)*0.008,((K66+K62)-IF(D30-K67-K68-10000000&lt;=0,0,D30-K67-K68-10000000))*0.016+((K66+K62)-((K66+K62)-IF(D30-K67-K68-10000000&lt;=0,0,D30-K67-K68-10000000)))*0.008)+IF(K67-IF(D30-K68-10000000&lt;=0,0,D30-K68-10000000)&lt;=0,K67*0.004,(K67-IF(D30-K68-10000000&lt;=0,0,D30-K68-10000000))*0.008+(K67-(K67-IF(D30-K68-10000000&lt;=0,0,D30-K68-10000000)))*0.004)+IF(K68-IF(D30-10000000&lt;=0,0,D30-10000000)&lt;=0,K68*0.002,(K68-IF(D30-10000000&lt;=0,0,D30-10000000))*0.004+(K68-(K68-IF(D30-10000000&lt;=0,0,D30-10000000)))*0.002),0)</f>
        <v>0</v>
      </c>
      <c r="F32" s="79">
        <f>D32+E32</f>
        <v>0</v>
      </c>
      <c r="G32" s="17"/>
      <c r="H32" s="18" t="s">
        <v>61</v>
      </c>
      <c r="I32" s="70">
        <v>0</v>
      </c>
      <c r="J32" s="25">
        <f>380000*I32</f>
        <v>0</v>
      </c>
      <c r="K32" s="25">
        <f>330000*(I32-L32)</f>
        <v>0</v>
      </c>
      <c r="L32" s="70">
        <v>0</v>
      </c>
      <c r="M32" s="71">
        <v>0</v>
      </c>
      <c r="N32" s="72" t="s">
        <v>3</v>
      </c>
      <c r="O32" s="48">
        <f>50000*(I32-L32)</f>
        <v>0</v>
      </c>
    </row>
    <row r="33" spans="1:15" ht="13.5">
      <c r="A33" s="9"/>
      <c r="B33" s="59" t="s">
        <v>119</v>
      </c>
      <c r="C33" s="138">
        <v>0</v>
      </c>
      <c r="D33" s="32" t="s">
        <v>51</v>
      </c>
      <c r="E33" s="33" t="s">
        <v>51</v>
      </c>
      <c r="F33" s="34" t="s">
        <v>51</v>
      </c>
      <c r="G33" s="5"/>
      <c r="H33" s="18" t="s">
        <v>62</v>
      </c>
      <c r="I33" s="70">
        <v>0</v>
      </c>
      <c r="J33" s="25">
        <f>750000*I33</f>
        <v>0</v>
      </c>
      <c r="K33" s="25">
        <f>530000*(I33-L33)</f>
        <v>0</v>
      </c>
      <c r="L33" s="70">
        <v>0</v>
      </c>
      <c r="M33" s="50" t="s">
        <v>99</v>
      </c>
      <c r="N33" s="51" t="s">
        <v>102</v>
      </c>
      <c r="O33" s="48">
        <f>220000*(I33-L33)</f>
        <v>0</v>
      </c>
    </row>
    <row r="34" spans="1:15" ht="13.5">
      <c r="A34" s="131" t="s">
        <v>34</v>
      </c>
      <c r="B34" s="58" t="s">
        <v>130</v>
      </c>
      <c r="C34" s="138">
        <v>0</v>
      </c>
      <c r="D34" s="144">
        <f>K79-E34</f>
        <v>0</v>
      </c>
      <c r="E34" s="140">
        <f>ROUNDDOWN((F34*3/5),0)</f>
        <v>0</v>
      </c>
      <c r="F34" s="79">
        <f>IF(K81="する",K80,K79)</f>
        <v>0</v>
      </c>
      <c r="G34" s="29"/>
      <c r="H34" s="18" t="s">
        <v>133</v>
      </c>
      <c r="I34" s="70">
        <v>0</v>
      </c>
      <c r="J34" s="25">
        <f>400000*I34</f>
        <v>0</v>
      </c>
      <c r="K34" s="25">
        <f>300000*(I34-L34)</f>
        <v>0</v>
      </c>
      <c r="L34" s="70">
        <v>0</v>
      </c>
      <c r="M34" s="50" t="s">
        <v>99</v>
      </c>
      <c r="N34" s="51" t="s">
        <v>102</v>
      </c>
      <c r="O34" s="48">
        <f>100000*(I34-L34)</f>
        <v>0</v>
      </c>
    </row>
    <row r="35" spans="1:15" ht="13.5">
      <c r="A35" s="9"/>
      <c r="B35" s="30" t="s">
        <v>117</v>
      </c>
      <c r="C35" s="154">
        <v>0</v>
      </c>
      <c r="D35" s="32" t="s">
        <v>51</v>
      </c>
      <c r="E35" s="33" t="s">
        <v>51</v>
      </c>
      <c r="F35" s="34" t="s">
        <v>51</v>
      </c>
      <c r="G35" s="31"/>
      <c r="H35" s="18" t="s">
        <v>135</v>
      </c>
      <c r="I35" s="70">
        <v>0</v>
      </c>
      <c r="J35" s="25">
        <f>270000*I35</f>
        <v>0</v>
      </c>
      <c r="K35" s="25">
        <f>260000*(I35-L35)</f>
        <v>0</v>
      </c>
      <c r="L35" s="70">
        <v>0</v>
      </c>
      <c r="M35" s="50" t="s">
        <v>99</v>
      </c>
      <c r="N35" s="51" t="s">
        <v>102</v>
      </c>
      <c r="O35" s="48">
        <f>10000*(I35-L35)</f>
        <v>0</v>
      </c>
    </row>
    <row r="36" spans="1:7" ht="13.5">
      <c r="A36" s="10"/>
      <c r="B36" s="59" t="s">
        <v>234</v>
      </c>
      <c r="C36" s="138">
        <v>0</v>
      </c>
      <c r="D36" s="32" t="s">
        <v>51</v>
      </c>
      <c r="E36" s="33" t="s">
        <v>51</v>
      </c>
      <c r="F36" s="34" t="s">
        <v>51</v>
      </c>
      <c r="G36" s="31"/>
    </row>
    <row r="37" spans="1:15" ht="13.5">
      <c r="A37" s="131" t="s">
        <v>35</v>
      </c>
      <c r="B37" s="30" t="s">
        <v>131</v>
      </c>
      <c r="C37" s="138">
        <v>0</v>
      </c>
      <c r="D37" s="32" t="s">
        <v>51</v>
      </c>
      <c r="E37" s="33" t="s">
        <v>51</v>
      </c>
      <c r="F37" s="34" t="s">
        <v>51</v>
      </c>
      <c r="G37" s="35"/>
      <c r="H37" s="17" t="s">
        <v>54</v>
      </c>
      <c r="I37" s="17"/>
      <c r="J37" s="17"/>
      <c r="K37" s="17"/>
      <c r="L37" s="199" t="s">
        <v>101</v>
      </c>
      <c r="M37" s="200"/>
      <c r="N37" s="201"/>
      <c r="O37" s="80" t="s">
        <v>138</v>
      </c>
    </row>
    <row r="38" spans="1:15" ht="13.5">
      <c r="A38" s="10"/>
      <c r="B38" s="30" t="s">
        <v>22</v>
      </c>
      <c r="C38" s="141">
        <f>IF(C31-C32-C33-C34-C35-C36-C37&lt;=0,0,C31-C32-C33-C34-C35-C36-C37)</f>
        <v>0</v>
      </c>
      <c r="D38" s="32" t="s">
        <v>51</v>
      </c>
      <c r="E38" s="33" t="s">
        <v>51</v>
      </c>
      <c r="F38" s="34" t="s">
        <v>51</v>
      </c>
      <c r="G38" s="35"/>
      <c r="I38" s="53" t="s">
        <v>97</v>
      </c>
      <c r="J38" s="18" t="s">
        <v>57</v>
      </c>
      <c r="K38" s="18" t="s">
        <v>58</v>
      </c>
      <c r="L38" s="53" t="s">
        <v>256</v>
      </c>
      <c r="M38" s="49" t="s">
        <v>98</v>
      </c>
      <c r="N38" s="52" t="s">
        <v>100</v>
      </c>
      <c r="O38" s="81" t="s">
        <v>139</v>
      </c>
    </row>
    <row r="39" spans="1:15" ht="13.5">
      <c r="A39" s="9"/>
      <c r="B39" s="58" t="s">
        <v>118</v>
      </c>
      <c r="C39" s="154">
        <v>0</v>
      </c>
      <c r="D39" s="32" t="s">
        <v>51</v>
      </c>
      <c r="E39" s="33" t="s">
        <v>51</v>
      </c>
      <c r="F39" s="34" t="s">
        <v>51</v>
      </c>
      <c r="G39" s="35"/>
      <c r="H39" s="19" t="s">
        <v>25</v>
      </c>
      <c r="I39" s="70">
        <v>0</v>
      </c>
      <c r="J39" s="25">
        <f>630000*I39</f>
        <v>0</v>
      </c>
      <c r="K39" s="25">
        <f>450000*(I39-L39)</f>
        <v>0</v>
      </c>
      <c r="L39" s="70">
        <v>0</v>
      </c>
      <c r="M39" s="71">
        <v>0</v>
      </c>
      <c r="N39" s="72" t="s">
        <v>3</v>
      </c>
      <c r="O39" s="48">
        <f>180000*(I39-L39)</f>
        <v>0</v>
      </c>
    </row>
    <row r="40" spans="1:15" ht="13.5">
      <c r="A40" s="10"/>
      <c r="B40" s="30" t="s">
        <v>120</v>
      </c>
      <c r="C40" s="141">
        <f>C38-C39</f>
        <v>0</v>
      </c>
      <c r="D40" s="32" t="s">
        <v>51</v>
      </c>
      <c r="E40" s="33" t="s">
        <v>51</v>
      </c>
      <c r="F40" s="34" t="s">
        <v>51</v>
      </c>
      <c r="G40" s="35"/>
      <c r="H40" s="19" t="s">
        <v>137</v>
      </c>
      <c r="I40" s="70">
        <v>0</v>
      </c>
      <c r="J40" s="25">
        <f>480000*I40</f>
        <v>0</v>
      </c>
      <c r="K40" s="25">
        <f>380000*(I40-L40)</f>
        <v>0</v>
      </c>
      <c r="L40" s="70">
        <v>0</v>
      </c>
      <c r="M40" s="71">
        <v>0</v>
      </c>
      <c r="N40" s="72" t="s">
        <v>3</v>
      </c>
      <c r="O40" s="48">
        <f>100000*(I40-L40)</f>
        <v>0</v>
      </c>
    </row>
    <row r="41" spans="1:15" ht="14.25" thickBot="1">
      <c r="A41" s="131" t="s">
        <v>36</v>
      </c>
      <c r="B41" s="36" t="s">
        <v>23</v>
      </c>
      <c r="C41" s="147">
        <v>0</v>
      </c>
      <c r="D41" s="37" t="s">
        <v>51</v>
      </c>
      <c r="E41" s="38"/>
      <c r="F41" s="39"/>
      <c r="G41" s="35"/>
      <c r="H41" s="19" t="s">
        <v>26</v>
      </c>
      <c r="I41" s="70">
        <v>0</v>
      </c>
      <c r="J41" s="25">
        <f>580000*I41</f>
        <v>0</v>
      </c>
      <c r="K41" s="25">
        <f>450000*(I41-L41)</f>
        <v>0</v>
      </c>
      <c r="L41" s="70">
        <v>0</v>
      </c>
      <c r="M41" s="69">
        <v>0</v>
      </c>
      <c r="N41" s="72" t="s">
        <v>3</v>
      </c>
      <c r="O41" s="48">
        <f>130000*(I41-L41)</f>
        <v>0</v>
      </c>
    </row>
    <row r="42" spans="1:15" ht="14.25" thickBot="1">
      <c r="A42" s="9"/>
      <c r="B42" s="75" t="s">
        <v>24</v>
      </c>
      <c r="C42" s="155">
        <f>IF(C40-C41&lt;=0,C40-C41,ROUNDDOWN(C40-C41,-2))</f>
        <v>0</v>
      </c>
      <c r="D42" s="76" t="s">
        <v>51</v>
      </c>
      <c r="E42" s="76" t="s">
        <v>51</v>
      </c>
      <c r="F42" s="76" t="s">
        <v>51</v>
      </c>
      <c r="G42" s="31"/>
      <c r="H42" s="19" t="s">
        <v>27</v>
      </c>
      <c r="I42" s="70">
        <v>0</v>
      </c>
      <c r="J42" s="25">
        <f>380000*I42</f>
        <v>0</v>
      </c>
      <c r="K42" s="25">
        <f>330000*(I42-L42)</f>
        <v>0</v>
      </c>
      <c r="L42" s="70">
        <v>0</v>
      </c>
      <c r="M42" s="69">
        <v>0</v>
      </c>
      <c r="N42" s="72" t="s">
        <v>3</v>
      </c>
      <c r="O42" s="48">
        <f>50000*(I42-L42)</f>
        <v>0</v>
      </c>
    </row>
    <row r="43" spans="1:15" ht="13.5">
      <c r="A43" s="10"/>
      <c r="B43" s="28" t="s">
        <v>140</v>
      </c>
      <c r="C43" s="40" t="s">
        <v>51</v>
      </c>
      <c r="D43" s="156">
        <f>IF(AND(D30&lt;=2000000,O50&lt;=D30),O50*0.02,IF(AND(D30&lt;=2000000,O50&gt;D30),D30*0.02,IF(O50-(D30-2000000)&lt;=50000,50000*0.02,(O50-(D30-2000000))*0.02)))</f>
        <v>0</v>
      </c>
      <c r="E43" s="157">
        <f>IF(AND(D30&lt;=2000000,O50&lt;=D30),O50*0.03,IF(AND(D30&lt;=2000000,O50&gt;D30),D30*0.03,IF(O50-(D30-2000000)&lt;=50000,50000*0.03,(O50-(D30-2000000))*0.03)))</f>
        <v>0</v>
      </c>
      <c r="F43" s="146">
        <f aca="true" t="shared" si="0" ref="F43:F48">D43+E43</f>
        <v>0</v>
      </c>
      <c r="G43" s="31"/>
      <c r="H43" s="18" t="s">
        <v>28</v>
      </c>
      <c r="I43" s="70">
        <v>0</v>
      </c>
      <c r="J43" s="25">
        <f>750000*I43</f>
        <v>0</v>
      </c>
      <c r="K43" s="25">
        <f>530000*(I43-L43)</f>
        <v>0</v>
      </c>
      <c r="L43" s="70">
        <v>0</v>
      </c>
      <c r="M43" s="50" t="s">
        <v>99</v>
      </c>
      <c r="N43" s="51" t="s">
        <v>102</v>
      </c>
      <c r="O43" s="48">
        <f>220000*(I43-L43)</f>
        <v>0</v>
      </c>
    </row>
    <row r="44" spans="1:15" ht="13.5">
      <c r="A44" s="131" t="s">
        <v>37</v>
      </c>
      <c r="B44" s="41" t="s">
        <v>161</v>
      </c>
      <c r="C44" s="33" t="s">
        <v>51</v>
      </c>
      <c r="D44" s="152">
        <f>IF(I23+I24+I26+I27&lt;5000,0,IF(I88&gt;(D31-D43)*0.1,I87+(D31-D43)*0.1,I87+I88))</f>
        <v>0</v>
      </c>
      <c r="E44" s="78">
        <f>IF(I23+I24+I26+I27&lt;5000,0,IF(J88&gt;(E31-E43)*0.1,J87+(E31-E43)*0.1,J87+J88))</f>
        <v>0</v>
      </c>
      <c r="F44" s="158">
        <f t="shared" si="0"/>
        <v>0</v>
      </c>
      <c r="G44" s="31"/>
      <c r="H44" s="18" t="s">
        <v>134</v>
      </c>
      <c r="I44" s="70">
        <v>0</v>
      </c>
      <c r="J44" s="25">
        <f>400000*I44</f>
        <v>0</v>
      </c>
      <c r="K44" s="25">
        <f>300000*(I44-L44)</f>
        <v>0</v>
      </c>
      <c r="L44" s="70">
        <v>0</v>
      </c>
      <c r="M44" s="50" t="s">
        <v>99</v>
      </c>
      <c r="N44" s="51" t="s">
        <v>102</v>
      </c>
      <c r="O44" s="48">
        <f>100000*(I44-L44)</f>
        <v>0</v>
      </c>
    </row>
    <row r="45" spans="1:15" ht="14.25" customHeight="1">
      <c r="A45" s="10"/>
      <c r="B45" s="87" t="s">
        <v>162</v>
      </c>
      <c r="C45" s="33" t="s">
        <v>50</v>
      </c>
      <c r="D45" s="152">
        <f>K73-E45</f>
        <v>0</v>
      </c>
      <c r="E45" s="159">
        <f>ROUNDDOWN((K73*3/5),0)</f>
        <v>0</v>
      </c>
      <c r="F45" s="158">
        <f t="shared" si="0"/>
        <v>0</v>
      </c>
      <c r="G45" s="31"/>
      <c r="H45" s="18" t="s">
        <v>136</v>
      </c>
      <c r="I45" s="70">
        <v>0</v>
      </c>
      <c r="J45" s="25">
        <f>270000*I45</f>
        <v>0</v>
      </c>
      <c r="K45" s="25">
        <f>260000*(I45-L45)</f>
        <v>0</v>
      </c>
      <c r="L45" s="70">
        <v>0</v>
      </c>
      <c r="M45" s="50" t="s">
        <v>99</v>
      </c>
      <c r="N45" s="51" t="s">
        <v>102</v>
      </c>
      <c r="O45" s="48">
        <f>10000*(I45-L45)</f>
        <v>0</v>
      </c>
    </row>
    <row r="46" spans="1:7" ht="14.25" customHeight="1">
      <c r="A46" s="10"/>
      <c r="B46" s="30" t="s">
        <v>46</v>
      </c>
      <c r="C46" s="33" t="s">
        <v>51</v>
      </c>
      <c r="D46" s="152">
        <f>IF((D12+F10)&lt;=350000,0-D44,IF(AND(I31+I32+I39+I40+I41+I42-L31-L32-L39-L40-L41-L42&gt;=1,(D12+F10)&lt;=(I31+I32+I39+I40+I41+I42-L31-L32-L39-L40-L41-L42+1)*350000+320000),0-D45,IF(D31-D32-D34-D43-D44&lt;=0,0-D45,IF(AND((D12+F10)&lt;=1250000,D20+D21+I56+I57+I58&gt;=1),0-D45,IF(D31-D32-D34-D43-D44-D45&lt;0,D31-D32-D34-D43-D44-D45,ROUNDDOWN(D31-D32-D34-D43-D44-D45,-2))))))</f>
        <v>0</v>
      </c>
      <c r="E46" s="78">
        <f>IF((D12+F10)&lt;=350000,0-E45,IF(AND(I31+I32+I39+I40+I41+I42-L31-L32-L39-L40-L41-L42&gt;=1,(D12+F10)&lt;=(I31+I32+I39+I40+I41+I42-L31-L32-L39-L40-L41-L42+1)*350000+320000),0-E45,IF(E31-E32-E34-E43-E44&lt;=0,0-E45,IF(AND((D12+F10)&lt;=1250000,D20+D21+I56+I57+I58&gt;=1),0-E44,IF(E31-E32-E34-E43-E44-E45&lt;=0,E31-E32-E34-E43-E44-E45,(ROUNDDOWN(E31-E32-E34-E43-E44-E45,-2)))))))</f>
        <v>0</v>
      </c>
      <c r="F46" s="79">
        <f t="shared" si="0"/>
        <v>0</v>
      </c>
      <c r="G46" s="17"/>
    </row>
    <row r="47" spans="1:13" ht="14.25" thickBot="1">
      <c r="A47" s="9"/>
      <c r="B47" s="30" t="s">
        <v>45</v>
      </c>
      <c r="C47" s="33" t="s">
        <v>51</v>
      </c>
      <c r="D47" s="152">
        <f>IF((D12+F10)&lt;=K91,0,IF(AND(I31+I32+I39+I40+I41+I42-L31-L32-L39-L40-L41-L42&gt;=1,(D12+F10)&lt;=(I31+I32+I39+I40+I41+I42-L31-L32-L39-L40-L41-L42+1)*K91+K92),0,IF((D12+F10)&gt;1250000,K93,IF(D20+D21+I56+I57+I58=0,K93,0))))</f>
        <v>0</v>
      </c>
      <c r="E47" s="78">
        <f>IF((D12+F10)&lt;=K91,0,IF(AND(I31+I32+I39+I40+I41+I42-L31-L32-L39-L40-L41-L42&gt;=1,(D12+F10)&lt;=(I31+I32+I39+I40+I41+I42-L31-L32-L39-L40-L41-L42+1)*K91+K92),0,IF((D12+F10)&gt;1250000,K94,IF(D20+D21+I56+I57+I58=0,K94,0))))</f>
        <v>0</v>
      </c>
      <c r="F47" s="79">
        <f t="shared" si="0"/>
        <v>0</v>
      </c>
      <c r="G47" s="17"/>
      <c r="H47" s="17" t="s">
        <v>106</v>
      </c>
      <c r="M47" s="17" t="s">
        <v>210</v>
      </c>
    </row>
    <row r="48" spans="1:15" ht="14.25" thickBot="1">
      <c r="A48" s="11"/>
      <c r="B48" s="77" t="s">
        <v>47</v>
      </c>
      <c r="C48" s="76" t="s">
        <v>51</v>
      </c>
      <c r="D48" s="160">
        <f>D46+D47</f>
        <v>0</v>
      </c>
      <c r="E48" s="155">
        <f>E46+E47</f>
        <v>0</v>
      </c>
      <c r="F48" s="161">
        <f t="shared" si="0"/>
        <v>0</v>
      </c>
      <c r="G48" s="17"/>
      <c r="H48" s="194" t="s">
        <v>107</v>
      </c>
      <c r="I48" s="195"/>
      <c r="J48" s="196"/>
      <c r="K48" s="48">
        <f>SUMIF(N31:N42,B5,M31:M42)</f>
        <v>0</v>
      </c>
      <c r="L48" s="17"/>
      <c r="M48" s="202" t="s">
        <v>211</v>
      </c>
      <c r="N48" s="203"/>
      <c r="O48" s="101">
        <f>SUM(K31:K35)+SUM(O31:O35)+SUM(K39:K45)+SUM(O39:O45)+SUM(C20:C22)+C25+C27</f>
        <v>380000</v>
      </c>
    </row>
    <row r="49" spans="1:15" ht="13.5" customHeight="1">
      <c r="A49" s="17"/>
      <c r="G49" s="17"/>
      <c r="H49" s="194" t="s">
        <v>108</v>
      </c>
      <c r="I49" s="195"/>
      <c r="J49" s="196"/>
      <c r="K49" s="48">
        <f>SUMIF(N31:N42,B6,M31:M42)</f>
        <v>0</v>
      </c>
      <c r="L49" s="17"/>
      <c r="M49" s="202" t="s">
        <v>212</v>
      </c>
      <c r="N49" s="203"/>
      <c r="O49" s="101">
        <f>SUM(K31:K35)+SUM(K39:K45)+SUM(D20:D22)+D25+D27</f>
        <v>330000</v>
      </c>
    </row>
    <row r="50" spans="1:15" ht="14.25" customHeight="1" thickBot="1">
      <c r="A50" s="17"/>
      <c r="B50" s="17" t="s">
        <v>285</v>
      </c>
      <c r="G50" s="17"/>
      <c r="L50" s="17"/>
      <c r="M50" s="197" t="s">
        <v>213</v>
      </c>
      <c r="N50" s="198"/>
      <c r="O50" s="101">
        <f>O48-O49</f>
        <v>50000</v>
      </c>
    </row>
    <row r="51" spans="1:12" ht="14.25" thickBot="1">
      <c r="A51" s="128"/>
      <c r="B51" s="13" t="s">
        <v>42</v>
      </c>
      <c r="C51" s="14" t="s">
        <v>31</v>
      </c>
      <c r="E51" s="204" t="s">
        <v>229</v>
      </c>
      <c r="F51" s="205"/>
      <c r="G51" s="17"/>
      <c r="H51" s="17" t="s">
        <v>103</v>
      </c>
      <c r="L51" s="17"/>
    </row>
    <row r="52" spans="1:12" ht="14.25" thickBot="1">
      <c r="A52" s="136" t="s">
        <v>223</v>
      </c>
      <c r="B52" s="102" t="s">
        <v>3</v>
      </c>
      <c r="C52" s="162">
        <f>C5-K48+K52-J108-J110</f>
        <v>0</v>
      </c>
      <c r="E52" s="173" t="s">
        <v>232</v>
      </c>
      <c r="F52" s="174">
        <v>0</v>
      </c>
      <c r="G52" s="17"/>
      <c r="H52" s="194" t="s">
        <v>104</v>
      </c>
      <c r="I52" s="195"/>
      <c r="J52" s="196"/>
      <c r="K52" s="69">
        <v>0</v>
      </c>
      <c r="L52" s="17"/>
    </row>
    <row r="53" spans="1:12" ht="14.25" thickBot="1">
      <c r="A53" s="129"/>
      <c r="B53" s="103" t="s">
        <v>2</v>
      </c>
      <c r="C53" s="163">
        <f>IF(J109=0,C6+K53-J111,J109+K53-J111)</f>
        <v>0</v>
      </c>
      <c r="F53" s="17"/>
      <c r="G53" s="17"/>
      <c r="H53" s="194" t="s">
        <v>105</v>
      </c>
      <c r="I53" s="195"/>
      <c r="J53" s="196"/>
      <c r="K53" s="69">
        <v>0</v>
      </c>
      <c r="L53" s="17"/>
    </row>
    <row r="54" spans="1:12" ht="14.25" thickBot="1">
      <c r="A54" s="136" t="s">
        <v>224</v>
      </c>
      <c r="B54" s="104" t="s">
        <v>164</v>
      </c>
      <c r="C54" s="164">
        <f>IF(C52+C53=0,0,ROUNDUP(2900000/12*J112,-3))</f>
        <v>0</v>
      </c>
      <c r="F54" s="17"/>
      <c r="G54" s="17"/>
      <c r="L54" s="17"/>
    </row>
    <row r="55" spans="1:12" ht="14.25" thickBot="1">
      <c r="A55" s="129"/>
      <c r="B55" s="104" t="s">
        <v>163</v>
      </c>
      <c r="C55" s="164">
        <f>ROUNDDOWN(IF(C52+C53-F52-C54&lt;=0,0,C52+C53-F52-C54),-3)</f>
        <v>0</v>
      </c>
      <c r="G55" s="17"/>
      <c r="H55" s="17" t="s">
        <v>63</v>
      </c>
      <c r="I55" s="17"/>
      <c r="J55" s="18" t="s">
        <v>57</v>
      </c>
      <c r="K55" s="18" t="s">
        <v>58</v>
      </c>
      <c r="L55" s="17"/>
    </row>
    <row r="56" spans="1:12" ht="14.25" thickBot="1">
      <c r="A56" s="136" t="s">
        <v>33</v>
      </c>
      <c r="B56" s="105" t="s">
        <v>165</v>
      </c>
      <c r="C56" s="166">
        <f>J113</f>
        <v>0.05</v>
      </c>
      <c r="G56" s="17"/>
      <c r="H56" s="19" t="s">
        <v>66</v>
      </c>
      <c r="I56" s="70">
        <v>0</v>
      </c>
      <c r="J56" s="20">
        <f>400000*I56</f>
        <v>0</v>
      </c>
      <c r="K56" s="20">
        <f>300000*I56</f>
        <v>0</v>
      </c>
      <c r="L56" s="17"/>
    </row>
    <row r="57" spans="1:12" ht="14.25" thickBot="1">
      <c r="A57" s="130"/>
      <c r="B57" s="106" t="s">
        <v>189</v>
      </c>
      <c r="C57" s="165">
        <f>IF(C55="",0,ROUNDDOWN(C55*C56,-2))</f>
        <v>0</v>
      </c>
      <c r="G57" s="17"/>
      <c r="H57" s="19" t="s">
        <v>67</v>
      </c>
      <c r="I57" s="70">
        <v>0</v>
      </c>
      <c r="J57" s="20">
        <f>270000*I57</f>
        <v>0</v>
      </c>
      <c r="K57" s="20">
        <f>260000*I57</f>
        <v>0</v>
      </c>
      <c r="L57" s="17"/>
    </row>
    <row r="58" spans="1:12" ht="13.5" customHeight="1">
      <c r="A58" s="17"/>
      <c r="B58" s="181">
        <f>IF(K77&lt;=K79,"",IF(AND(K77-K79&gt;K77-K80,K81="しない",K76&gt;=36161,K76&lt;=39082),"※地方税法附則第５条の４（旧法）を選択する方が有利となります。",""))</f>
      </c>
      <c r="G58" s="17"/>
      <c r="H58" s="19" t="s">
        <v>65</v>
      </c>
      <c r="I58" s="70">
        <v>0</v>
      </c>
      <c r="J58" s="23" t="s">
        <v>64</v>
      </c>
      <c r="K58" s="23" t="s">
        <v>64</v>
      </c>
      <c r="L58" s="17"/>
    </row>
    <row r="59" spans="1:12" ht="13.5">
      <c r="A59" s="17"/>
      <c r="B59" s="181">
        <f>IF(B58="","","　「市町村民税住宅借入金等特別控除申告書」を提出して下さい。")</f>
      </c>
      <c r="G59" s="17"/>
      <c r="H59" s="6" t="s">
        <v>69</v>
      </c>
      <c r="I59" s="17"/>
      <c r="J59" s="17"/>
      <c r="K59" s="17"/>
      <c r="L59" s="17"/>
    </row>
    <row r="60" spans="1:12" ht="13.5">
      <c r="A60" s="17"/>
      <c r="G60" s="17"/>
      <c r="H60" s="17"/>
      <c r="I60" s="17"/>
      <c r="J60" s="17"/>
      <c r="K60" s="17"/>
      <c r="L60" s="17"/>
    </row>
    <row r="61" spans="1:12" ht="13.5">
      <c r="A61" s="17"/>
      <c r="G61" s="17"/>
      <c r="H61" s="17" t="s">
        <v>70</v>
      </c>
      <c r="I61" s="17"/>
      <c r="J61" s="17"/>
      <c r="K61" s="27"/>
      <c r="L61" s="17"/>
    </row>
    <row r="62" spans="1:12" ht="13.5" customHeight="1">
      <c r="A62" s="17"/>
      <c r="G62" s="17"/>
      <c r="H62" s="217" t="s">
        <v>121</v>
      </c>
      <c r="I62" s="218"/>
      <c r="J62" s="219"/>
      <c r="K62" s="69">
        <v>0</v>
      </c>
      <c r="L62" s="17"/>
    </row>
    <row r="63" spans="1:12" ht="13.5" customHeight="1">
      <c r="A63" s="17"/>
      <c r="G63" s="17"/>
      <c r="H63" s="61"/>
      <c r="I63" s="62"/>
      <c r="J63" s="62"/>
      <c r="K63" s="63"/>
      <c r="L63" s="17"/>
    </row>
    <row r="64" spans="1:12" ht="13.5">
      <c r="A64" s="17"/>
      <c r="G64" s="17"/>
      <c r="H64" s="17" t="s">
        <v>123</v>
      </c>
      <c r="I64" s="62"/>
      <c r="J64" s="62"/>
      <c r="K64" s="63"/>
      <c r="L64" s="17"/>
    </row>
    <row r="65" spans="1:12" ht="13.5">
      <c r="A65" s="17"/>
      <c r="G65" s="17"/>
      <c r="H65" s="209" t="s">
        <v>124</v>
      </c>
      <c r="I65" s="210"/>
      <c r="J65" s="210"/>
      <c r="K65" s="211"/>
      <c r="L65" s="17"/>
    </row>
    <row r="66" spans="1:12" ht="13.5" customHeight="1">
      <c r="A66" s="17"/>
      <c r="G66" s="17"/>
      <c r="H66" s="212" t="s">
        <v>125</v>
      </c>
      <c r="I66" s="213"/>
      <c r="J66" s="214"/>
      <c r="K66" s="177">
        <f>C8-K67-K68-K70</f>
        <v>0</v>
      </c>
      <c r="L66" s="17"/>
    </row>
    <row r="67" spans="7:12" ht="13.5">
      <c r="G67" s="17"/>
      <c r="H67" s="206" t="s">
        <v>127</v>
      </c>
      <c r="I67" s="207"/>
      <c r="J67" s="208"/>
      <c r="K67" s="69">
        <v>0</v>
      </c>
      <c r="L67" s="17"/>
    </row>
    <row r="68" spans="2:12" ht="13.5">
      <c r="B68" s="1"/>
      <c r="C68" s="1"/>
      <c r="D68" s="1"/>
      <c r="G68" s="17"/>
      <c r="H68" s="206" t="s">
        <v>126</v>
      </c>
      <c r="I68" s="207"/>
      <c r="J68" s="208"/>
      <c r="K68" s="69">
        <v>0</v>
      </c>
      <c r="L68" s="17"/>
    </row>
    <row r="69" spans="7:12" ht="13.5">
      <c r="G69" s="17"/>
      <c r="H69" s="209" t="s">
        <v>129</v>
      </c>
      <c r="I69" s="210"/>
      <c r="J69" s="210"/>
      <c r="K69" s="211"/>
      <c r="L69" s="17"/>
    </row>
    <row r="70" spans="8:12" ht="13.5" customHeight="1">
      <c r="H70" s="206" t="s">
        <v>128</v>
      </c>
      <c r="I70" s="207"/>
      <c r="J70" s="208"/>
      <c r="K70" s="69">
        <v>0</v>
      </c>
      <c r="L70" s="17"/>
    </row>
    <row r="71" spans="8:11" ht="13.5">
      <c r="H71" s="17"/>
      <c r="I71" s="17"/>
      <c r="J71" s="17"/>
      <c r="K71" s="17"/>
    </row>
    <row r="72" spans="8:11" ht="13.5">
      <c r="H72" s="17" t="s">
        <v>122</v>
      </c>
      <c r="I72" s="17"/>
      <c r="J72" s="17"/>
      <c r="K72" s="27"/>
    </row>
    <row r="73" spans="8:11" ht="13.5">
      <c r="H73" s="209" t="s">
        <v>71</v>
      </c>
      <c r="I73" s="210"/>
      <c r="J73" s="211"/>
      <c r="K73" s="69">
        <v>0</v>
      </c>
    </row>
    <row r="74" ht="13.5" customHeight="1"/>
    <row r="75" spans="8:14" ht="13.5" customHeight="1">
      <c r="H75" s="17" t="s">
        <v>113</v>
      </c>
      <c r="L75" s="57"/>
      <c r="M75" s="57"/>
      <c r="N75" s="183"/>
    </row>
    <row r="76" spans="8:14" ht="13.5" customHeight="1">
      <c r="H76" s="194" t="s">
        <v>116</v>
      </c>
      <c r="I76" s="195"/>
      <c r="J76" s="196"/>
      <c r="K76" s="73">
        <v>39814</v>
      </c>
      <c r="L76" s="176"/>
      <c r="M76" s="176"/>
      <c r="N76" s="184"/>
    </row>
    <row r="77" spans="8:13" ht="13.5">
      <c r="H77" s="221" t="s">
        <v>252</v>
      </c>
      <c r="I77" s="222"/>
      <c r="J77" s="223"/>
      <c r="K77" s="177">
        <f>IF(C31-C32-C33&gt;=C34,0,C34-(C31-C32-C33))</f>
        <v>0</v>
      </c>
      <c r="L77" s="176"/>
      <c r="M77" s="176"/>
    </row>
    <row r="78" spans="8:12" ht="13.5">
      <c r="H78" s="194" t="s">
        <v>115</v>
      </c>
      <c r="I78" s="195"/>
      <c r="J78" s="196"/>
      <c r="K78" s="60">
        <f>(IF(C30&lt;=3300000,C30*0.1,IF(C30&lt;=9000000,C30*0.2-330000,IF(C30&lt;=18000000,C30*0.3-1230000,C30*0.37-2490000))))-(IF(C30&lt;=1950000,C30*0.05,IF(C30&lt;=3300000,C30*0.1-97500,IF(C30&lt;=6950000,C30*0.2-427500,IF(C30&lt;=9000000,C30*0.23-636000,IF(C30&lt;=18000000,C30*0.33-1536000,C30*0.4-2796000))))))</f>
        <v>0</v>
      </c>
      <c r="L78" s="57"/>
    </row>
    <row r="79" spans="8:11" ht="13.5">
      <c r="H79" s="194" t="s">
        <v>114</v>
      </c>
      <c r="I79" s="195"/>
      <c r="J79" s="196"/>
      <c r="K79" s="60">
        <f>IF(AND(K76&gt;39082,K76&lt;=39813),0,IF(K77=0,0,IF(C30=0,0,IF(AND(C30*0.05&lt;=97500,K77&gt;=C30*0.05),C30*0.05,IF(AND(C30*0.05&gt;97500,K77&gt;97500),97500,K77)))))</f>
        <v>0</v>
      </c>
    </row>
    <row r="80" spans="8:11" ht="13.5">
      <c r="H80" s="224" t="s">
        <v>235</v>
      </c>
      <c r="I80" s="225"/>
      <c r="J80" s="226"/>
      <c r="K80" s="175">
        <f>IF(K76&gt;39082,0,IF(K77=0,0,IF(K78&lt;=0,0,IF(K77&lt;=K78,K77,K78))))</f>
        <v>0</v>
      </c>
    </row>
    <row r="81" spans="8:14" ht="13.5" customHeight="1">
      <c r="H81" s="232" t="s">
        <v>236</v>
      </c>
      <c r="I81" s="233"/>
      <c r="J81" s="234"/>
      <c r="K81" s="72" t="s">
        <v>242</v>
      </c>
      <c r="L81" s="182" t="s">
        <v>243</v>
      </c>
      <c r="M81" s="182" t="s">
        <v>244</v>
      </c>
      <c r="N81" s="182" t="s">
        <v>245</v>
      </c>
    </row>
    <row r="82" spans="8:14" ht="13.5">
      <c r="H82" s="186" t="s">
        <v>255</v>
      </c>
      <c r="I82" s="185"/>
      <c r="J82" s="185"/>
      <c r="L82" s="182"/>
      <c r="M82" s="182"/>
      <c r="N82" s="182"/>
    </row>
    <row r="83" spans="8:14" ht="13.5">
      <c r="H83" s="186" t="s">
        <v>253</v>
      </c>
      <c r="I83" s="185"/>
      <c r="J83" s="185"/>
      <c r="L83" s="182"/>
      <c r="M83" s="182"/>
      <c r="N83" s="182"/>
    </row>
    <row r="84" spans="2:14" ht="13.5">
      <c r="B84" s="1"/>
      <c r="C84" s="98"/>
      <c r="E84" s="99"/>
      <c r="F84" s="1"/>
      <c r="H84" s="186" t="s">
        <v>254</v>
      </c>
      <c r="I84" s="185"/>
      <c r="J84" s="185"/>
      <c r="L84" s="182"/>
      <c r="M84" s="182"/>
      <c r="N84" s="182"/>
    </row>
    <row r="85" spans="2:6" ht="13.5">
      <c r="B85" s="1"/>
      <c r="C85" s="98"/>
      <c r="E85" s="99"/>
      <c r="F85" s="1"/>
    </row>
    <row r="86" spans="2:10" ht="13.5">
      <c r="B86" s="1"/>
      <c r="C86" s="98"/>
      <c r="E86" s="99"/>
      <c r="F86" s="1"/>
      <c r="H86" s="17" t="s">
        <v>156</v>
      </c>
      <c r="I86" s="18" t="s">
        <v>157</v>
      </c>
      <c r="J86" s="18" t="s">
        <v>158</v>
      </c>
    </row>
    <row r="87" spans="2:10" ht="13.5">
      <c r="B87" s="1"/>
      <c r="C87" s="98"/>
      <c r="E87" s="99"/>
      <c r="F87" s="1"/>
      <c r="H87" s="19" t="s">
        <v>160</v>
      </c>
      <c r="I87" s="20">
        <f>ROUNDUP(IF(I23+I24+I26+I27&lt;=5000,0,IF(D12&lt;=0,0,IF(I23+I24+I26+I27&gt;D12*0.3,(D12*0.3-5000)*0.04,(I23+I24+I26+I27-5000)*0.04))),0)</f>
        <v>0</v>
      </c>
      <c r="J87" s="23">
        <f>ROUNDUP(IF(I23+I24+I26+I27&lt;=5000,0,IF(D12&lt;=0,0,IF(I23+I24+I26+I27&gt;D12*0.3,(D12*0.3-5000)*0.06,(I23+I24+I26+I27-5000)*0.06))),0)</f>
        <v>0</v>
      </c>
    </row>
    <row r="88" spans="2:12" ht="13.5">
      <c r="B88" s="1"/>
      <c r="C88" s="98"/>
      <c r="E88" s="99"/>
      <c r="F88" s="1"/>
      <c r="H88" s="86" t="s">
        <v>159</v>
      </c>
      <c r="I88" s="47">
        <f>ROUNDUP(IF(I23&lt;=5000,0,IF(D30-O50&lt;0,(I23-5000)*0.9*2/5,IF(I23&lt;=1955000,(I23-5000)*(0.9-0.85)*2/5,IF(I23&lt;=3305000,(1950000*(0.9-0.85)+(I23-1955000)*(0.9-0.8))*2/5,IF(I23&lt;=6955000,(1950000*(0.9-0.85)+1350000*(0.9-0.8)+(I23-3305000)*(0.9-0.7))*2/5,IF(I23&lt;=9005000,(1950000*(0.9-0.85)+1350000*(0.9-0.8)+3650000*(0.9-0.7)+(I23-6955000)*(0.9-0.67))*2/5,IF(I23&lt;=18005000,(1950000*(0.9-0.85)+1350000*(0.9-0.8)+3650000*(0.9-0.7)+2050000*(0.9-0.67)+(I23-9005000)*(0.9-0.57))*2/5,(1950000*(0.9-0.85)+1350000*(0.9-0.8)+3650000*(0.9-0.7)+2050000*(0.9-0.67)+9000000*(0.9-0.57)+(I23-18005000)*(0.9-0.5))*2/5))))))),0)</f>
        <v>0</v>
      </c>
      <c r="J88" s="20">
        <f>ROUNDUP(IF(I23&lt;=5000,0,IF(D30-O50&lt;0,(I23-5000)*0.9*3/5,IF(I23&lt;=1955000,(I23-5000)*(0.9-0.85)*3/5,IF(I23&lt;=3305000,(1950000*(0.9-0.85)+(I23-1955000)*(0.9-0.8))*3/5,IF(I23&lt;=6955000,(1950000*(0.9-0.85)+1350000*(0.9-0.8)+(I23-3305000)*(0.9-0.7))*3/5,IF(I23&lt;=9000000,(1950000*(0.9-0.85)+1350000*(0.9-0.8)+3650000*(0.9-0.7)+(I23-6955000)*(0.9-0.67))*3/5,IF(I23&lt;=18005000,(1950000*(0.9-0.85)+1350000*(0.9-0.8)+3650000*(0.9-0.7)+2050000*(0.9-0.67)+(I23-9005000)*(0.9-0.57))*3/5,(1950000*(0.9-0.85)+1350000*(0.9-0.8)+3650000*(0.9-0.7)+2050000*(0.9-0.67)+9000000*(0.9-0.57)+(I23-18005000)*(0.9-0.5))*3/5))))))),0)</f>
        <v>0</v>
      </c>
      <c r="L88" s="17"/>
    </row>
    <row r="89" spans="2:12" ht="13.5">
      <c r="B89" s="1"/>
      <c r="C89" s="98"/>
      <c r="E89" s="99"/>
      <c r="F89" s="1"/>
      <c r="L89" s="17"/>
    </row>
    <row r="90" spans="2:12" ht="13.5">
      <c r="B90" s="100"/>
      <c r="C90" s="1"/>
      <c r="D90" s="1"/>
      <c r="E90" s="99"/>
      <c r="F90" s="99"/>
      <c r="H90" s="17" t="s">
        <v>78</v>
      </c>
      <c r="I90" s="17"/>
      <c r="J90" s="17"/>
      <c r="K90" s="27"/>
      <c r="L90" s="17"/>
    </row>
    <row r="91" spans="4:12" ht="13.5">
      <c r="D91" s="1"/>
      <c r="E91" s="1"/>
      <c r="F91" s="1"/>
      <c r="G91" s="1"/>
      <c r="H91" s="206" t="s">
        <v>72</v>
      </c>
      <c r="I91" s="207"/>
      <c r="J91" s="208"/>
      <c r="K91" s="69">
        <v>350000</v>
      </c>
      <c r="L91" s="17"/>
    </row>
    <row r="92" spans="8:12" ht="13.5">
      <c r="H92" s="206" t="s">
        <v>84</v>
      </c>
      <c r="I92" s="207"/>
      <c r="J92" s="208"/>
      <c r="K92" s="69">
        <v>210000</v>
      </c>
      <c r="L92" s="17"/>
    </row>
    <row r="93" spans="8:12" ht="13.5">
      <c r="H93" s="42" t="s">
        <v>79</v>
      </c>
      <c r="I93" s="43"/>
      <c r="J93" s="44"/>
      <c r="K93" s="69">
        <v>1000</v>
      </c>
      <c r="L93" s="17"/>
    </row>
    <row r="94" spans="8:12" ht="13.5">
      <c r="H94" s="42" t="s">
        <v>80</v>
      </c>
      <c r="I94" s="45"/>
      <c r="J94" s="46"/>
      <c r="K94" s="69">
        <v>3000</v>
      </c>
      <c r="L94" s="17"/>
    </row>
    <row r="95" spans="8:12" ht="13.5">
      <c r="H95" s="17" t="s">
        <v>75</v>
      </c>
      <c r="I95" s="17"/>
      <c r="J95" s="17"/>
      <c r="K95" s="17"/>
      <c r="L95" s="17"/>
    </row>
    <row r="96" spans="8:12" ht="13.5">
      <c r="H96" s="17" t="s">
        <v>74</v>
      </c>
      <c r="I96" s="17"/>
      <c r="J96" s="17"/>
      <c r="K96" s="17"/>
      <c r="L96" s="17"/>
    </row>
    <row r="97" spans="8:12" ht="13.5">
      <c r="H97" s="17" t="s">
        <v>73</v>
      </c>
      <c r="I97" s="17"/>
      <c r="J97" s="17"/>
      <c r="K97" s="17"/>
      <c r="L97" s="17"/>
    </row>
    <row r="98" spans="8:12" ht="13.5">
      <c r="H98" s="17" t="s">
        <v>76</v>
      </c>
      <c r="I98" s="17"/>
      <c r="J98" s="17"/>
      <c r="K98" s="17"/>
      <c r="L98" s="17"/>
    </row>
    <row r="99" spans="8:12" ht="13.5">
      <c r="H99" s="17" t="s">
        <v>246</v>
      </c>
      <c r="I99" s="17"/>
      <c r="J99" s="17"/>
      <c r="K99" s="17"/>
      <c r="L99" s="17"/>
    </row>
    <row r="100" spans="8:12" ht="13.5">
      <c r="H100" s="17" t="s">
        <v>81</v>
      </c>
      <c r="I100" s="17"/>
      <c r="J100" s="17"/>
      <c r="K100" s="17"/>
      <c r="L100" s="17"/>
    </row>
    <row r="101" spans="8:12" ht="13.5" customHeight="1">
      <c r="H101" s="17" t="s">
        <v>85</v>
      </c>
      <c r="I101" s="17"/>
      <c r="J101" s="17"/>
      <c r="K101" s="17"/>
      <c r="L101" s="17"/>
    </row>
    <row r="102" spans="8:12" ht="13.5">
      <c r="H102" s="17" t="s">
        <v>250</v>
      </c>
      <c r="I102" s="17"/>
      <c r="J102" s="17"/>
      <c r="K102" s="17"/>
      <c r="L102" s="17"/>
    </row>
    <row r="103" spans="8:12" ht="13.5">
      <c r="H103" s="17" t="s">
        <v>247</v>
      </c>
      <c r="I103" s="17"/>
      <c r="J103" s="17"/>
      <c r="K103" s="17"/>
      <c r="L103" s="17"/>
    </row>
    <row r="104" spans="8:11" ht="13.5">
      <c r="H104" s="17" t="s">
        <v>248</v>
      </c>
      <c r="I104" s="17"/>
      <c r="J104" s="17"/>
      <c r="K104" s="17"/>
    </row>
    <row r="105" spans="8:11" ht="13.5">
      <c r="H105" s="17" t="s">
        <v>249</v>
      </c>
      <c r="I105" s="17"/>
      <c r="J105" s="17"/>
      <c r="K105" s="17"/>
    </row>
    <row r="107" ht="13.5">
      <c r="H107" s="17" t="s">
        <v>166</v>
      </c>
    </row>
    <row r="108" spans="8:10" ht="13.5">
      <c r="H108" s="220" t="s">
        <v>167</v>
      </c>
      <c r="I108" s="196"/>
      <c r="J108" s="69">
        <v>0</v>
      </c>
    </row>
    <row r="109" spans="8:10" ht="13.5">
      <c r="H109" s="227" t="s">
        <v>168</v>
      </c>
      <c r="I109" s="228"/>
      <c r="J109" s="69">
        <v>0</v>
      </c>
    </row>
    <row r="110" spans="8:13" ht="13.5">
      <c r="H110" s="220" t="s">
        <v>169</v>
      </c>
      <c r="I110" s="229"/>
      <c r="J110" s="69">
        <v>0</v>
      </c>
      <c r="M110" s="3"/>
    </row>
    <row r="111" spans="8:13" ht="13.5">
      <c r="H111" s="230" t="s">
        <v>257</v>
      </c>
      <c r="I111" s="231"/>
      <c r="J111" s="69">
        <v>0</v>
      </c>
      <c r="K111" s="132" t="s">
        <v>259</v>
      </c>
      <c r="M111" s="3"/>
    </row>
    <row r="112" spans="8:13" ht="13.5">
      <c r="H112" s="220" t="s">
        <v>258</v>
      </c>
      <c r="I112" s="196"/>
      <c r="J112" s="97">
        <v>12</v>
      </c>
      <c r="K112" s="132" t="s">
        <v>226</v>
      </c>
      <c r="M112" s="3"/>
    </row>
    <row r="113" spans="8:11" ht="13.5">
      <c r="H113" s="220" t="s">
        <v>182</v>
      </c>
      <c r="I113" s="196"/>
      <c r="J113" s="96">
        <v>0.05</v>
      </c>
      <c r="K113" s="132" t="s">
        <v>251</v>
      </c>
    </row>
    <row r="115" ht="13.5">
      <c r="H115" t="s">
        <v>209</v>
      </c>
    </row>
    <row r="116" ht="13.5">
      <c r="H116" s="89" t="s">
        <v>188</v>
      </c>
    </row>
    <row r="117" ht="13.5">
      <c r="H117" s="89" t="s">
        <v>184</v>
      </c>
    </row>
    <row r="118" ht="13.5">
      <c r="H118" s="89" t="s">
        <v>185</v>
      </c>
    </row>
    <row r="119" ht="13.5">
      <c r="H119" s="89" t="s">
        <v>183</v>
      </c>
    </row>
    <row r="120" ht="13.5">
      <c r="H120" s="89" t="s">
        <v>186</v>
      </c>
    </row>
    <row r="121" ht="13.5">
      <c r="H121" s="89" t="s">
        <v>187</v>
      </c>
    </row>
    <row r="122" ht="14.25" thickBot="1">
      <c r="H122" t="s">
        <v>225</v>
      </c>
    </row>
    <row r="123" spans="8:14" ht="13.5">
      <c r="H123" s="107" t="s">
        <v>214</v>
      </c>
      <c r="I123" s="108"/>
      <c r="J123" s="109"/>
      <c r="K123" s="109"/>
      <c r="L123" s="109"/>
      <c r="M123" s="109"/>
      <c r="N123" s="110"/>
    </row>
    <row r="124" spans="8:14" ht="13.5">
      <c r="H124" s="90" t="s">
        <v>170</v>
      </c>
      <c r="I124" s="91"/>
      <c r="J124" s="91"/>
      <c r="K124" s="91"/>
      <c r="L124" s="91"/>
      <c r="M124" s="91"/>
      <c r="N124" s="92"/>
    </row>
    <row r="125" spans="8:14" ht="13.5">
      <c r="H125" s="90" t="s">
        <v>171</v>
      </c>
      <c r="I125" s="91"/>
      <c r="J125" s="91"/>
      <c r="K125" s="91"/>
      <c r="L125" s="91"/>
      <c r="M125" s="91"/>
      <c r="N125" s="92"/>
    </row>
    <row r="126" spans="8:14" ht="13.5">
      <c r="H126" s="90" t="s">
        <v>174</v>
      </c>
      <c r="I126" s="91"/>
      <c r="J126" s="91"/>
      <c r="K126" s="91"/>
      <c r="L126" s="91"/>
      <c r="M126" s="91"/>
      <c r="N126" s="92"/>
    </row>
    <row r="127" spans="8:14" ht="13.5">
      <c r="H127" s="90" t="s">
        <v>173</v>
      </c>
      <c r="I127" s="91"/>
      <c r="J127" s="91"/>
      <c r="K127" s="91"/>
      <c r="L127" s="91"/>
      <c r="M127" s="91"/>
      <c r="N127" s="92"/>
    </row>
    <row r="128" spans="8:14" ht="14.25" thickBot="1">
      <c r="H128" s="120" t="s">
        <v>172</v>
      </c>
      <c r="I128" s="121"/>
      <c r="J128" s="121"/>
      <c r="K128" s="121"/>
      <c r="L128" s="121"/>
      <c r="M128" s="121"/>
      <c r="N128" s="122"/>
    </row>
    <row r="129" spans="8:14" ht="13.5">
      <c r="H129" s="118" t="s">
        <v>215</v>
      </c>
      <c r="I129" s="95"/>
      <c r="J129" s="95"/>
      <c r="K129" s="95"/>
      <c r="L129" s="95"/>
      <c r="M129" s="95"/>
      <c r="N129" s="119"/>
    </row>
    <row r="130" spans="8:14" ht="14.25" thickBot="1">
      <c r="H130" s="123" t="s">
        <v>175</v>
      </c>
      <c r="I130" s="124"/>
      <c r="J130" s="124"/>
      <c r="K130" s="124"/>
      <c r="L130" s="124"/>
      <c r="M130" s="124"/>
      <c r="N130" s="125"/>
    </row>
    <row r="131" spans="8:14" ht="13.5">
      <c r="H131" s="111" t="s">
        <v>216</v>
      </c>
      <c r="I131" s="94"/>
      <c r="J131" s="94"/>
      <c r="K131" s="94"/>
      <c r="L131" s="94"/>
      <c r="M131" s="94"/>
      <c r="N131" s="112"/>
    </row>
    <row r="132" spans="8:14" ht="13.5">
      <c r="H132" s="113" t="s">
        <v>176</v>
      </c>
      <c r="I132" s="93"/>
      <c r="J132" s="93"/>
      <c r="K132" s="93"/>
      <c r="L132" s="93"/>
      <c r="M132" s="93"/>
      <c r="N132" s="114"/>
    </row>
    <row r="133" spans="8:14" ht="13.5">
      <c r="H133" s="113" t="s">
        <v>177</v>
      </c>
      <c r="I133" s="93"/>
      <c r="J133" s="93"/>
      <c r="K133" s="93"/>
      <c r="L133" s="93"/>
      <c r="M133" s="93"/>
      <c r="N133" s="114"/>
    </row>
    <row r="134" spans="8:14" ht="13.5">
      <c r="H134" s="113" t="s">
        <v>178</v>
      </c>
      <c r="I134" s="93"/>
      <c r="J134" s="93"/>
      <c r="K134" s="93"/>
      <c r="L134" s="93"/>
      <c r="M134" s="93"/>
      <c r="N134" s="114"/>
    </row>
    <row r="135" spans="8:14" ht="13.5">
      <c r="H135" s="113" t="s">
        <v>179</v>
      </c>
      <c r="I135" s="93"/>
      <c r="J135" s="93"/>
      <c r="K135" s="93"/>
      <c r="L135" s="93"/>
      <c r="M135" s="93"/>
      <c r="N135" s="114"/>
    </row>
    <row r="136" spans="8:14" ht="13.5">
      <c r="H136" s="113" t="s">
        <v>180</v>
      </c>
      <c r="I136" s="93"/>
      <c r="J136" s="93"/>
      <c r="K136" s="93"/>
      <c r="L136" s="93"/>
      <c r="M136" s="93"/>
      <c r="N136" s="114"/>
    </row>
    <row r="137" spans="8:14" ht="14.25" thickBot="1">
      <c r="H137" s="115" t="s">
        <v>181</v>
      </c>
      <c r="I137" s="116"/>
      <c r="J137" s="116"/>
      <c r="K137" s="116"/>
      <c r="L137" s="116"/>
      <c r="M137" s="116"/>
      <c r="N137" s="117"/>
    </row>
    <row r="139" ht="13.5">
      <c r="H139" s="178" t="s">
        <v>77</v>
      </c>
    </row>
  </sheetData>
  <sheetProtection password="CC6F" sheet="1" objects="1" scenarios="1"/>
  <mergeCells count="33">
    <mergeCell ref="H112:I112"/>
    <mergeCell ref="H113:I113"/>
    <mergeCell ref="H109:I109"/>
    <mergeCell ref="H110:I110"/>
    <mergeCell ref="H111:I111"/>
    <mergeCell ref="H68:J68"/>
    <mergeCell ref="H69:K69"/>
    <mergeCell ref="H81:J81"/>
    <mergeCell ref="H70:J70"/>
    <mergeCell ref="H91:J91"/>
    <mergeCell ref="H108:I108"/>
    <mergeCell ref="H92:J92"/>
    <mergeCell ref="H76:J76"/>
    <mergeCell ref="H79:J79"/>
    <mergeCell ref="H73:J73"/>
    <mergeCell ref="H77:J77"/>
    <mergeCell ref="H78:J78"/>
    <mergeCell ref="H80:J80"/>
    <mergeCell ref="E51:F51"/>
    <mergeCell ref="E9:F9"/>
    <mergeCell ref="H67:J67"/>
    <mergeCell ref="H65:K65"/>
    <mergeCell ref="H66:J66"/>
    <mergeCell ref="L29:N29"/>
    <mergeCell ref="H62:J62"/>
    <mergeCell ref="H53:J53"/>
    <mergeCell ref="H52:J52"/>
    <mergeCell ref="H49:J49"/>
    <mergeCell ref="M50:N50"/>
    <mergeCell ref="L37:N37"/>
    <mergeCell ref="M48:N48"/>
    <mergeCell ref="M49:N49"/>
    <mergeCell ref="H48:J48"/>
  </mergeCells>
  <dataValidations count="2">
    <dataValidation type="list" allowBlank="1" showInputMessage="1" showErrorMessage="1" sqref="N39:N42 N31:N32">
      <formula1>$B$5:$B$6</formula1>
    </dataValidation>
    <dataValidation type="list" allowBlank="1" showInputMessage="1" showErrorMessage="1" sqref="K81 L86">
      <formula1>$L$81:$M$81</formula1>
    </dataValidation>
  </dataValidations>
  <printOptions/>
  <pageMargins left="0.98425196850393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J29"/>
  <sheetViews>
    <sheetView zoomScalePageLayoutView="0" workbookViewId="0" topLeftCell="A1">
      <selection activeCell="A16" sqref="A16"/>
    </sheetView>
  </sheetViews>
  <sheetFormatPr defaultColWidth="8.796875" defaultRowHeight="14.25"/>
  <cols>
    <col min="9" max="9" width="10.5" style="0" bestFit="1" customWidth="1"/>
  </cols>
  <sheetData>
    <row r="1" ht="13.5">
      <c r="A1" t="s">
        <v>202</v>
      </c>
    </row>
    <row r="2" ht="13.5">
      <c r="A2" t="s">
        <v>190</v>
      </c>
    </row>
    <row r="3" ht="13.5">
      <c r="A3" t="s">
        <v>191</v>
      </c>
    </row>
    <row r="4" ht="13.5">
      <c r="A4" s="2" t="s">
        <v>192</v>
      </c>
    </row>
    <row r="5" ht="13.5">
      <c r="A5" t="s">
        <v>193</v>
      </c>
    </row>
    <row r="7" ht="13.5">
      <c r="A7" s="2" t="s">
        <v>194</v>
      </c>
    </row>
    <row r="8" ht="13.5">
      <c r="A8" s="2" t="s">
        <v>195</v>
      </c>
    </row>
    <row r="9" ht="13.5">
      <c r="A9" t="s">
        <v>193</v>
      </c>
    </row>
    <row r="11" ht="13.5">
      <c r="A11" t="s">
        <v>196</v>
      </c>
    </row>
    <row r="12" ht="13.5">
      <c r="A12" s="4" t="s">
        <v>197</v>
      </c>
    </row>
    <row r="13" spans="1:10" ht="13.5">
      <c r="A13" s="2" t="s">
        <v>198</v>
      </c>
      <c r="I13" s="1"/>
      <c r="J13" s="1"/>
    </row>
    <row r="14" ht="13.5">
      <c r="A14" s="2"/>
    </row>
    <row r="15" ht="13.5">
      <c r="A15" s="2" t="s">
        <v>194</v>
      </c>
    </row>
    <row r="16" ht="13.5">
      <c r="A16" s="4" t="s">
        <v>199</v>
      </c>
    </row>
    <row r="17" spans="1:10" ht="13.5">
      <c r="A17" s="2"/>
      <c r="J17" s="1"/>
    </row>
    <row r="18" spans="1:10" ht="13.5">
      <c r="A18" t="s">
        <v>204</v>
      </c>
      <c r="J18" s="1"/>
    </row>
    <row r="19" spans="1:10" ht="13.5">
      <c r="A19" t="s">
        <v>205</v>
      </c>
      <c r="J19" s="1"/>
    </row>
    <row r="20" spans="1:10" ht="13.5">
      <c r="A20" t="s">
        <v>206</v>
      </c>
      <c r="J20" s="1"/>
    </row>
    <row r="21" ht="13.5">
      <c r="J21" s="1"/>
    </row>
    <row r="22" spans="1:10" ht="13.5">
      <c r="A22" t="s">
        <v>241</v>
      </c>
      <c r="J22" s="1"/>
    </row>
    <row r="23" spans="1:10" ht="13.5">
      <c r="A23" t="s">
        <v>207</v>
      </c>
      <c r="J23" s="1"/>
    </row>
    <row r="24" spans="1:10" ht="13.5">
      <c r="A24" t="s">
        <v>208</v>
      </c>
      <c r="J24" s="1"/>
    </row>
    <row r="25" ht="13.5">
      <c r="J25" s="1"/>
    </row>
    <row r="26" ht="13.5">
      <c r="A26" s="2" t="s">
        <v>203</v>
      </c>
    </row>
    <row r="27" spans="1:4" ht="13.5">
      <c r="A27" s="2" t="s">
        <v>200</v>
      </c>
      <c r="D27" s="1"/>
    </row>
    <row r="28" ht="13.5">
      <c r="A28" s="2"/>
    </row>
    <row r="29" ht="13.5">
      <c r="A29" s="2" t="s">
        <v>201</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
    </sheetView>
  </sheetViews>
  <sheetFormatPr defaultColWidth="8.796875" defaultRowHeight="14.25"/>
  <sheetData>
    <row r="1" ht="13.5">
      <c r="A1" t="s">
        <v>262</v>
      </c>
    </row>
    <row r="2" ht="13.5">
      <c r="A2" t="s">
        <v>221</v>
      </c>
    </row>
    <row r="4" ht="13.5">
      <c r="A4" t="s">
        <v>149</v>
      </c>
    </row>
    <row r="5" ht="13.5">
      <c r="A5" t="s">
        <v>217</v>
      </c>
    </row>
    <row r="7" ht="13.5">
      <c r="A7" t="s">
        <v>145</v>
      </c>
    </row>
    <row r="8" ht="13.5">
      <c r="A8" t="s">
        <v>144</v>
      </c>
    </row>
    <row r="10" ht="13.5">
      <c r="A10" t="s">
        <v>141</v>
      </c>
    </row>
    <row r="11" ht="13.5">
      <c r="A11" t="s">
        <v>220</v>
      </c>
    </row>
    <row r="12" ht="13.5">
      <c r="A12" t="s">
        <v>146</v>
      </c>
    </row>
    <row r="14" ht="13.5">
      <c r="A14" t="s">
        <v>238</v>
      </c>
    </row>
    <row r="15" ht="13.5">
      <c r="A15" t="s">
        <v>239</v>
      </c>
    </row>
    <row r="16" ht="13.5">
      <c r="A16" s="181" t="s">
        <v>237</v>
      </c>
    </row>
    <row r="17" ht="13.5">
      <c r="A17" s="181" t="s">
        <v>240</v>
      </c>
    </row>
    <row r="19" ht="13.5">
      <c r="A19" t="s">
        <v>147</v>
      </c>
    </row>
    <row r="20" ht="13.5">
      <c r="A20" t="s">
        <v>148</v>
      </c>
    </row>
    <row r="22" ht="13.5">
      <c r="A22" t="s">
        <v>142</v>
      </c>
    </row>
    <row r="26" ht="13.5">
      <c r="A26" t="s">
        <v>143</v>
      </c>
    </row>
    <row r="27" ht="13.5">
      <c r="A27" s="82" t="s">
        <v>150</v>
      </c>
    </row>
    <row r="29" ht="13.5">
      <c r="A29" t="s">
        <v>218</v>
      </c>
    </row>
    <row r="30" ht="13.5">
      <c r="A30" s="82" t="s">
        <v>219</v>
      </c>
    </row>
  </sheetData>
  <sheetProtection/>
  <hyperlinks>
    <hyperlink ref="A27" r:id="rId1" display="http://www.hi-ho.ne.jp/s-okuno/down/down.html"/>
    <hyperlink ref="A30" r:id="rId2" display="s-okuno@hi-ho.ne.jp"/>
  </hyperlink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奥野茂広税理士事務所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奥野茂広</dc:creator>
  <cp:keywords/>
  <dc:description/>
  <cp:lastModifiedBy>奥野茂広</cp:lastModifiedBy>
  <cp:lastPrinted>2010-01-29T13:35:19Z</cp:lastPrinted>
  <dcterms:created xsi:type="dcterms:W3CDTF">2007-04-22T04:52:49Z</dcterms:created>
  <dcterms:modified xsi:type="dcterms:W3CDTF">2011-03-04T17:43:26Z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